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6"/>
  <workbookPr codeName="ThisWorkbook" autoCompressPictures="0"/>
  <mc:AlternateContent xmlns:mc="http://schemas.openxmlformats.org/markup-compatibility/2006">
    <mc:Choice Requires="x15">
      <x15ac:absPath xmlns:x15ac="http://schemas.microsoft.com/office/spreadsheetml/2010/11/ac" url="O:\Department\Quality Metallurgy\Labshare\Conflict Minerals - REACH - RoHS Documents\Conflict Minerals Information\"/>
    </mc:Choice>
  </mc:AlternateContent>
  <xr:revisionPtr revIDLastSave="0" documentId="8_{99503419-86AE-4EE5-8BB3-C8FDF98D6850}" xr6:coauthVersionLast="36" xr6:coauthVersionMax="36"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0" yWindow="0" windowWidth="28800" windowHeight="1162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V19" i="5"/>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G6" i="5"/>
  <c r="J5"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R5" i="5"/>
  <c r="H6" i="5"/>
  <c r="I19" i="5"/>
  <c r="E20"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 i="5"/>
  <c r="I6" i="5"/>
  <c r="F18" i="5"/>
  <c r="J18" i="5"/>
  <c r="G20"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E21" i="5"/>
  <c r="AB27" i="5"/>
  <c r="E29" i="5"/>
  <c r="X29" i="5" s="1"/>
  <c r="F5" i="5"/>
  <c r="H18" i="5"/>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F20" i="5"/>
  <c r="AB31" i="5"/>
  <c r="G5"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F6" i="5"/>
  <c r="J6"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I5" i="5"/>
  <c r="E6" i="5"/>
  <c r="R18" i="5"/>
  <c r="F19"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C9" i="6" s="1"/>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C8" i="6" l="1"/>
  <c r="C11" i="6"/>
  <c r="C4" i="6"/>
  <c r="C10"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l="1"/>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X100" i="5"/>
  <c r="D27" i="6"/>
  <c r="C27" i="6"/>
  <c r="C36" i="6"/>
  <c r="C42" i="6"/>
  <c r="C40"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l="1"/>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5" i="5"/>
  <c r="T16" i="5"/>
  <c r="T13" i="5"/>
  <c r="T17" i="5"/>
  <c r="T14" i="5"/>
  <c r="T12" i="5"/>
  <c r="T10" i="5"/>
  <c r="T7" i="5"/>
  <c r="T9" i="5"/>
  <c r="T11" i="5"/>
  <c r="T8" i="5"/>
  <c r="C68" i="6" l="1"/>
  <c r="X13" i="5"/>
  <c r="X10" i="5"/>
  <c r="D65" i="6"/>
  <c r="X9" i="5"/>
  <c r="X12" i="5"/>
  <c r="X14" i="5"/>
  <c r="X17" i="5"/>
  <c r="D66" i="6"/>
  <c r="C67" i="6"/>
  <c r="X11" i="5"/>
  <c r="X15" i="5"/>
  <c r="X8" i="5"/>
  <c r="X7" i="5"/>
  <c r="G69" i="6"/>
  <c r="H69" i="6" s="1"/>
  <c r="H70" i="6" s="1"/>
  <c r="D2" i="6" s="1"/>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<sst xmlns="http://schemas.openxmlformats.org/spreadsheetml/2006/main" count="21991" uniqueCount="15647">
  <si>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</si>
  <si>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</si>
  <si>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</si>
  <si>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</si>
  <si>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</si>
  <si>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</si>
  <si>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</si>
  <si>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</si>
  <si>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</si>
  <si>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</si>
  <si>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</si>
  <si>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</si>
  <si>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</si>
  <si>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</si>
  <si>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</si>
  <si>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</si>
  <si>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</si>
  <si>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</si>
  <si>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</si>
  <si>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</si>
  <si>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</si>
  <si>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</si>
  <si>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</si>
  <si>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</si>
  <si>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</si>
  <si>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</si>
  <si>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</si>
  <si>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</si>
  <si>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</si>
  <si>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</si>
  <si>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</si>
  <si>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</si>
  <si>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</si>
  <si>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</si>
  <si>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</si>
  <si>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</si>
  <si>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</si>
  <si>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</si>
  <si>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</si>
  <si>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</si>
  <si>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</si>
  <si>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</si>
  <si>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</si>
  <si>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</si>
  <si>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</si>
  <si>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</si>
  <si>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</si>
  <si>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</si>
  <si>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</si>
  <si>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</si>
  <si>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</si>
  <si>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</si>
  <si>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</si>
  <si>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</si>
  <si>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</si>
  <si>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</si>
  <si>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</si>
  <si>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</si>
  <si>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</si>
  <si>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</si>
  <si>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</si>
  <si>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</si>
  <si>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</si>
  <si>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</si>
  <si>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</si>
  <si>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</si>
  <si>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</si>
  <si>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</si>
  <si>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</si>
  <si>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</si>
  <si>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</si>
  <si>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</si>
  <si>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</si>
  <si>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</si>
  <si>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</si>
  <si>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</si>
  <si>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</si>
  <si>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</si>
  <si>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</si>
  <si>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</si>
  <si>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</si>
  <si>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</si>
  <si>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</si>
  <si>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</si>
  <si>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</si>
  <si>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</si>
  <si>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</si>
  <si>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</si>
  <si>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</si>
  <si>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</si>
  <si>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</si>
  <si>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</si>
  <si>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</si>
  <si>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</si>
  <si>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</si>
  <si>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</si>
  <si>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</si>
  <si>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</si>
  <si>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</si>
  <si>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</si>
  <si>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</si>
  <si>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</si>
  <si>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</si>
  <si>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</si>
  <si>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</si>
  <si>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</si>
  <si>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</si>
  <si>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</si>
  <si>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</si>
  <si>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</si>
  <si>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</si>
  <si>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</si>
  <si>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</si>
  <si>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</si>
  <si>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</si>
  <si>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</si>
  <si>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</si>
  <si>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</si>
  <si>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</si>
  <si>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</si>
  <si>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</si>
  <si>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</si>
  <si>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</si>
  <si>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</si>
  <si>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</si>
  <si>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</si>
  <si>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</si>
  <si>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</si>
  <si>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</si>
  <si>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</si>
  <si>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</si>
  <si>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</si>
  <si>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</si>
  <si>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</si>
  <si>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</si>
  <si>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</si>
  <si>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</si>
  <si>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</si>
  <si>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</si>
  <si>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</si>
  <si>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</si>
  <si>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</si>
  <si>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</si>
  <si>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</si>
  <si>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</si>
  <si>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</si>
  <si>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</si>
  <si>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</si>
  <si>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</si>
  <si>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</si>
  <si>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</si>
  <si>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</si>
  <si>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</si>
  <si>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</si>
  <si>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</si>
  <si>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</si>
  <si>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</si>
  <si>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</si>
  <si>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</si>
  <si>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</si>
  <si>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</si>
  <si>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</si>
  <si>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</si>
  <si>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</si>
  <si>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</si>
  <si>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</si>
  <si>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</si>
  <si>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</si>
  <si>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</si>
  <si>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</si>
  <si>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</si>
  <si>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</si>
  <si>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</si>
  <si>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</si>
  <si>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</si>
  <si>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</si>
  <si>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</si>
  <si>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</si>
  <si>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</si>
  <si>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</si>
  <si>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</si>
  <si>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</si>
  <si>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</si>
  <si>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</si>
  <si>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</si>
  <si>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</si>
  <si>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</si>
  <si>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</si>
  <si>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</si>
  <si>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</si>
  <si>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</si>
  <si>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</si>
  <si>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</si>
  <si>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</si>
  <si>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</si>
  <si>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</si>
  <si>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</si>
  <si>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</si>
  <si>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</si>
  <si>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</si>
  <si>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</si>
  <si>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</si>
  <si>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</si>
  <si>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</si>
  <si>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</si>
  <si>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</si>
  <si>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</si>
  <si>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</si>
  <si>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</si>
  <si>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</si>
  <si>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</si>
  <si>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</si>
  <si>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</si>
  <si>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</si>
  <si>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</si>
  <si>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</si>
  <si>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</si>
  <si>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</si>
  <si>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</si>
  <si>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</si>
  <si>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</si>
  <si>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</si>
  <si>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</si>
  <si>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</si>
  <si>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</si>
  <si>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</si>
  <si>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</si>
  <si>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</si>
  <si>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</si>
  <si>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</si>
  <si>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</si>
  <si>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</si>
  <si>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</si>
  <si>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</si>
  <si>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</si>
  <si>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</si>
  <si>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</si>
  <si>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</si>
  <si>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</si>
  <si>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</si>
  <si>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</si>
  <si>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</si>
  <si>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</si>
  <si>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</si>
  <si>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</si>
  <si>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</si>
  <si>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</si>
  <si>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</si>
  <si>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</si>
  <si>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</si>
  <si>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</si>
  <si>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</si>
  <si>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</si>
  <si>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</si>
  <si>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</si>
  <si>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</si>
  <si>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</si>
  <si>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</si>
  <si>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</si>
  <si>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</si>
  <si>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</si>
  <si>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</si>
  <si>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</si>
  <si>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</si>
  <si>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</si>
  <si>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</si>
  <si>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</si>
  <si>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</si>
  <si>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</si>
  <si>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</si>
  <si>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</si>
  <si>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</si>
  <si>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</si>
  <si>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</si>
  <si>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</si>
  <si>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</si>
  <si>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</si>
  <si>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</si>
  <si>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</si>
  <si>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</si>
  <si>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</si>
  <si>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</si>
  <si>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</si>
  <si>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</si>
  <si>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</si>
  <si>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</si>
  <si>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</si>
  <si>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</si>
  <si>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</si>
  <si>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</si>
  <si>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</si>
  <si>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</si>
  <si>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</si>
  <si>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</si>
  <si>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</si>
  <si>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</si>
  <si>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</si>
  <si>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</si>
  <si>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</si>
  <si>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</si>
  <si>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</si>
  <si>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</si>
  <si>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</si>
  <si>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</si>
  <si>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</si>
  <si>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</si>
  <si>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</si>
  <si>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</si>
  <si>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</si>
  <si>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</si>
  <si>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</si>
  <si>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</si>
  <si>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</si>
  <si>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</si>
  <si>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</si>
  <si>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</si>
  <si>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</si>
  <si>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</si>
  <si>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</si>
  <si>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</si>
  <si>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</si>
  <si>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</si>
  <si>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</si>
  <si>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</si>
  <si>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</si>
  <si>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</si>
  <si>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</si>
  <si>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</si>
  <si>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</si>
  <si>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</si>
  <si>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</si>
  <si>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</si>
  <si>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</si>
  <si>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</si>
  <si>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</si>
  <si>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</si>
  <si>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</si>
  <si>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</si>
  <si>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</si>
  <si>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</si>
  <si>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</si>
  <si>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</si>
  <si>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</si>
  <si>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</si>
  <si>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</si>
  <si>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</si>
  <si>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</si>
  <si>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</si>
  <si>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</si>
  <si>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</si>
  <si>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</si>
  <si>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</si>
  <si>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</si>
  <si>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</si>
  <si>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</si>
  <si>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</si>
  <si>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</si>
  <si>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</si>
  <si>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</si>
  <si>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</si>
  <si>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</si>
  <si>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</si>
  <si>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</si>
  <si>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</si>
  <si>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</si>
  <si>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</si>
  <si>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</si>
  <si>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</si>
  <si>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</si>
  <si>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</si>
  <si>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</si>
  <si>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</si>
  <si>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</si>
  <si>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</si>
  <si>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</si>
  <si>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</si>
  <si>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</si>
  <si>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</si>
  <si>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</si>
  <si>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</si>
  <si>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</si>
  <si>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</si>
  <si>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</si>
  <si>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</si>
  <si>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</si>
  <si>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</si>
  <si>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</si>
  <si>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</si>
  <si>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</si>
  <si>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</si>
  <si>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</si>
  <si>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</si>
  <si>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</si>
  <si>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</si>
  <si>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</si>
  <si>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</si>
  <si>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</si>
  <si>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</si>
  <si>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</si>
  <si>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</si>
  <si>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</si>
  <si>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</si>
  <si>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</si>
  <si>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</si>
  <si>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</si>
  <si>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</si>
  <si>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</si>
  <si>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</si>
  <si>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</si>
  <si>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</si>
  <si>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</si>
  <si>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</si>
  <si>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</si>
  <si>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</si>
  <si>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</si>
  <si>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</si>
  <si>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</si>
  <si>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</si>
  <si>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</si>
  <si>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</si>
  <si>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</si>
  <si>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</si>
  <si>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</si>
  <si>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</si>
  <si>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</si>
  <si>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</si>
  <si>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</si>
  <si>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</si>
  <si>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</si>
  <si>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</si>
  <si>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</si>
  <si>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</si>
  <si>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</si>
  <si>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</si>
  <si>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</si>
  <si>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</si>
  <si>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</si>
  <si>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</si>
  <si>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</si>
  <si>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</si>
  <si>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</si>
  <si>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</si>
  <si>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</si>
  <si>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</si>
  <si>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</si>
  <si>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</si>
  <si>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</si>
  <si>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</si>
  <si>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</si>
  <si>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</si>
  <si>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</si>
  <si>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</si>
  <si>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</si>
  <si>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</si>
  <si>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</si>
  <si>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</si>
  <si>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</si>
  <si>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</si>
  <si>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</si>
  <si>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</si>
  <si>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</si>
  <si>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</si>
  <si>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</si>
  <si>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</si>
  <si>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</si>
  <si>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</si>
  <si>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</si>
  <si>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</si>
  <si>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</si>
  <si>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</si>
  <si>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</si>
  <si>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</si>
  <si>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</si>
  <si>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</si>
  <si>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</si>
  <si>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</si>
  <si>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</si>
  <si>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</si>
  <si>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</si>
  <si>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</si>
  <si>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</si>
  <si>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</si>
  <si>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</si>
  <si>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</si>
  <si>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</si>
  <si>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</si>
  <si>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</si>
  <si>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</si>
  <si>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</si>
  <si>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</si>
  <si>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</si>
  <si>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</si>
  <si>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</si>
  <si>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</si>
  <si>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</si>
  <si>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</si>
  <si>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</si>
  <si>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</si>
  <si>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</si>
  <si>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</si>
  <si>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</si>
  <si>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</si>
  <si>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</si>
  <si>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</si>
  <si>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</si>
  <si>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</si>
  <si>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</si>
  <si>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</si>
  <si>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</si>
  <si>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</si>
  <si>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</si>
  <si>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</si>
  <si>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</si>
  <si>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</si>
  <si>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</si>
  <si>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</si>
  <si>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</si>
  <si>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</si>
  <si>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</si>
  <si>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</si>
  <si>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</si>
  <si>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</si>
  <si>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</si>
  <si>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</si>
  <si>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</si>
  <si>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</si>
  <si>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</si>
  <si>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</si>
  <si>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</si>
  <si>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</si>
  <si>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</si>
  <si>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</si>
  <si>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</si>
  <si>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</si>
  <si>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</si>
  <si>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</si>
  <si>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</si>
  <si>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</si>
  <si>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</si>
  <si>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</si>
  <si>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</si>
  <si>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</si>
  <si>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</si>
  <si>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</si>
  <si>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</si>
  <si>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</si>
  <si>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</si>
  <si>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</si>
  <si>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</si>
  <si>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</si>
  <si>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</si>
  <si>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</si>
  <si>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</si>
  <si>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</si>
  <si>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</si>
  <si>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</si>
  <si>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</si>
  <si>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</si>
  <si>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</si>
  <si>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</si>
  <si>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</si>
  <si>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</si>
  <si>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</si>
  <si>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</si>
  <si>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</si>
  <si>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</si>
  <si>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</si>
  <si>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</si>
  <si>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</si>
  <si>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</si>
  <si>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</si>
  <si>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</si>
  <si>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</si>
  <si>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</si>
  <si>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</si>
  <si>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</si>
  <si>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</si>
  <si>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</si>
  <si>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</si>
  <si>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</si>
  <si>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</si>
  <si>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</si>
  <si>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</si>
  <si>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</si>
  <si>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</si>
  <si>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</si>
  <si>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</si>
  <si>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</si>
  <si>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</si>
  <si>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</si>
  <si>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</si>
  <si>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</si>
  <si>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</si>
  <si>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</si>
  <si>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</si>
  <si>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</si>
  <si>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</si>
  <si>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</si>
  <si>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</si>
  <si>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</si>
  <si>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</si>
  <si>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</si>
  <si>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</si>
  <si>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</si>
  <si>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</si>
  <si>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</si>
  <si>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</si>
  <si>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</si>
  <si>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</si>
  <si>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</si>
  <si>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</si>
  <si>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</si>
  <si>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</si>
  <si>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</si>
  <si>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</si>
  <si>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</si>
  <si>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</si>
  <si>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</si>
  <si>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</si>
  <si>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</si>
  <si>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</si>
  <si>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</si>
  <si>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</si>
  <si>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</si>
  <si>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</si>
  <si>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</si>
  <si>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</si>
  <si>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</si>
  <si>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</si>
  <si>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</si>
  <si>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</si>
  <si>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</si>
  <si>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</si>
  <si>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</si>
  <si>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</si>
  <si>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</si>
  <si>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</si>
  <si>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</si>
  <si>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</si>
  <si>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</si>
  <si>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</si>
  <si>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</si>
  <si>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</si>
  <si>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</si>
  <si>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</si>
  <si>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</si>
  <si>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</si>
  <si>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</si>
  <si>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</si>
  <si>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</si>
  <si>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</si>
  <si>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</si>
  <si>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</si>
  <si>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</si>
  <si>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</si>
  <si>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</si>
  <si>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</si>
  <si>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</si>
  <si>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</si>
  <si>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</si>
  <si>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</si>
  <si>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</si>
  <si>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</si>
  <si>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</si>
  <si>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</si>
  <si>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</si>
  <si>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</si>
  <si>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</si>
  <si>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</si>
  <si>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</si>
  <si>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</si>
  <si>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</si>
  <si>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</si>
  <si>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</si>
  <si>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</si>
  <si>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</si>
  <si>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</si>
  <si>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</si>
  <si>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</si>
  <si>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</si>
  <si>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</si>
  <si>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</si>
  <si>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</si>
  <si>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</si>
  <si>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</si>
  <si>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</si>
  <si>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</si>
  <si>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</si>
  <si>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</si>
  <si>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</si>
  <si>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</si>
  <si>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</si>
  <si>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</si>
  <si>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</si>
  <si>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</si>
  <si>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</si>
  <si>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</si>
  <si>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</si>
  <si>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</si>
  <si>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</si>
  <si>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</si>
  <si>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</si>
  <si>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</si>
  <si>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</si>
  <si>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</si>
  <si>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</si>
  <si>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</si>
  <si>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</si>
  <si>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</si>
  <si>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</si>
  <si>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</si>
  <si>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</si>
  <si>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</si>
  <si>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</si>
  <si>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</si>
  <si>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</si>
  <si>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</si>
  <si>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</si>
  <si>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</si>
  <si>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</si>
  <si>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</si>
  <si>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</si>
  <si>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</si>
  <si>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</si>
  <si>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</si>
  <si>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</si>
  <si>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</si>
  <si>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</si>
  <si>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</si>
  <si>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</si>
  <si>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</si>
  <si>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</si>
  <si>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</si>
  <si>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</si>
  <si>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</si>
  <si>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</si>
  <si>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</si>
  <si>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</si>
  <si>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</si>
  <si>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</si>
  <si>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</si>
  <si>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</si>
  <si>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</si>
  <si>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</si>
  <si>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</si>
  <si>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</si>
  <si>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</si>
  <si>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</si>
  <si>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</si>
  <si>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</si>
  <si>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</si>
  <si>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</si>
  <si>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</si>
  <si>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</si>
  <si>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</si>
  <si>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</si>
  <si>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</si>
  <si>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</si>
  <si>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</si>
  <si>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</si>
  <si>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</si>
  <si>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</si>
  <si>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</si>
  <si>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</si>
  <si>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</si>
  <si>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</si>
  <si>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</si>
  <si>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</si>
  <si>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</si>
  <si>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</si>
  <si>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</si>
  <si>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</si>
  <si>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</si>
  <si>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</si>
  <si>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</si>
  <si>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</si>
  <si>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</si>
  <si>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</si>
  <si>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</si>
  <si>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</si>
  <si>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</si>
  <si>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</si>
  <si>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</si>
  <si>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</si>
  <si>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</si>
  <si>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</si>
  <si>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</si>
  <si>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</si>
  <si>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</si>
  <si>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</si>
  <si>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</si>
  <si>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</si>
  <si>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</si>
  <si>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</si>
  <si>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</si>
  <si>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</si>
  <si>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</si>
  <si>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</si>
  <si>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</si>
  <si>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</si>
  <si>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</si>
  <si>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</si>
  <si>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</si>
  <si>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</si>
  <si>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</si>
  <si>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</si>
  <si>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</si>
  <si>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</si>
  <si>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</si>
  <si>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</si>
  <si>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</si>
  <si>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</si>
  <si>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</si>
  <si>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</si>
  <si>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</si>
  <si>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</si>
  <si>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</si>
  <si>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</si>
  <si>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</si>
  <si>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</si>
  <si>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</si>
  <si>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</si>
  <si>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</si>
  <si>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</si>
  <si>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</si>
  <si>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</si>
  <si>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</si>
  <si>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</si>
  <si>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</si>
  <si>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</si>
  <si>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</si>
  <si>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</si>
  <si>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</si>
  <si>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</si>
  <si>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</si>
  <si>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</si>
  <si>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</si>
  <si>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</si>
  <si>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</si>
  <si>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</si>
  <si>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</si>
  <si>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</si>
  <si>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</si>
  <si>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</si>
  <si>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</si>
  <si>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</si>
  <si>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</si>
  <si>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</si>
  <si>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</si>
  <si>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</si>
  <si>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</si>
  <si>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</si>
  <si>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</si>
  <si>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</si>
  <si>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</si>
  <si>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</si>
  <si>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</si>
  <si>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</si>
  <si>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</si>
  <si>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</si>
  <si>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</si>
  <si>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</si>
  <si>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</si>
  <si>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</si>
  <si>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</si>
  <si>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</si>
  <si>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</si>
  <si>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</si>
  <si>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</si>
  <si>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</si>
  <si>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</si>
  <si>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</si>
  <si>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</si>
  <si>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</si>
  <si>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</si>
  <si>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</si>
  <si>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</si>
  <si>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</si>
  <si>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</si>
  <si>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</si>
  <si>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</si>
  <si>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</si>
  <si>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</si>
  <si>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</si>
  <si>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</si>
  <si>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</si>
  <si>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</si>
  <si>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</si>
  <si>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</si>
  <si>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</si>
  <si>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</si>
  <si>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</si>
  <si>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</si>
  <si>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</si>
  <si>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</si>
  <si>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</si>
  <si>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</si>
  <si>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</si>
  <si>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</si>
  <si>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</si>
  <si>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</si>
  <si>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</si>
  <si>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</si>
  <si>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</si>
  <si>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</si>
  <si>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</si>
  <si>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</si>
  <si>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</si>
  <si>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</si>
  <si>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</si>
  <si>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</si>
  <si>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</si>
  <si>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</si>
  <si>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</si>
  <si>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</si>
  <si>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</si>
  <si>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</si>
  <si>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</si>
  <si>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</si>
  <si>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</si>
  <si>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</si>
  <si>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</si>
  <si>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</si>
  <si>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</si>
  <si>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</si>
  <si>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</si>
  <si>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</si>
  <si>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</si>
  <si>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</si>
  <si>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</si>
  <si>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</si>
  <si>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</si>
  <si>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</si>
  <si>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</si>
  <si>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</si>
  <si>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</si>
  <si>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</si>
  <si>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</si>
  <si>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</si>
  <si>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</si>
  <si>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</si>
  <si>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</si>
  <si>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</si>
  <si>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</si>
  <si>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</si>
  <si>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</si>
  <si>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</si>
  <si>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</si>
  <si>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</si>
  <si>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</si>
  <si>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</si>
  <si>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</si>
  <si>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</si>
  <si>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</si>
  <si>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</si>
  <si>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</si>
  <si>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</si>
  <si>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</si>
  <si>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</si>
  <si>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</si>
  <si>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</si>
  <si>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</si>
  <si>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</si>
  <si>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</si>
  <si>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</si>
  <si>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</si>
  <si>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</si>
  <si>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</si>
  <si>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</si>
  <si>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</si>
  <si>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</si>
  <si>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</si>
  <si>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</si>
  <si>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</si>
  <si>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</si>
  <si>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</si>
  <si>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</si>
  <si>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</si>
  <si>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</si>
  <si>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</si>
  <si>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</si>
  <si>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</si>
  <si>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</si>
  <si>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</si>
  <si>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</si>
  <si>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</si>
  <si>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</si>
  <si>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</si>
  <si>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</si>
  <si>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</si>
  <si>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</si>
  <si>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</si>
  <si>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</si>
  <si>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</si>
  <si>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</si>
  <si>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</si>
  <si>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</si>
  <si>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</si>
  <si>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</si>
  <si>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</si>
  <si>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</si>
  <si>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</si>
  <si>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</si>
  <si>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</si>
  <si>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</si>
  <si>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</si>
  <si>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</si>
  <si>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</si>
  <si>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</si>
  <si>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</si>
  <si>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</si>
  <si>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</si>
  <si>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</si>
  <si>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</si>
  <si>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</si>
  <si>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</si>
  <si>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</si>
  <si>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</si>
  <si>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</si>
  <si>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</si>
  <si>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</si>
  <si>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</si>
  <si>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</si>
  <si>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</si>
  <si>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</si>
  <si>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</si>
  <si>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</si>
  <si>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</si>
  <si>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</si>
  <si>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</si>
  <si>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</si>
  <si>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</si>
  <si>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</si>
  <si>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</si>
  <si>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</si>
  <si>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</si>
  <si>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</si>
  <si>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</si>
  <si>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</si>
  <si>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</si>
  <si>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</si>
  <si>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</si>
  <si>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</si>
  <si>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</si>
  <si>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</si>
  <si>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</si>
  <si>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</si>
  <si>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</si>
  <si>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</si>
  <si>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</si>
  <si>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</si>
  <si>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</si>
  <si>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</si>
  <si>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</si>
  <si>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</si>
  <si>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</si>
  <si>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</si>
  <si>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</si>
  <si>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</si>
  <si>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</si>
  <si>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</si>
  <si>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</si>
  <si>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</si>
  <si>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</si>
  <si>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</si>
  <si>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</si>
  <si>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</si>
  <si>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</si>
  <si>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</si>
  <si>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</si>
  <si>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</si>
  <si>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</si>
  <si>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</si>
  <si>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</si>
  <si>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</si>
  <si>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</si>
  <si>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</si>
  <si>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</si>
  <si>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</si>
  <si>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</si>
  <si>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</si>
  <si>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</si>
  <si>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</si>
  <si>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</si>
  <si>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</si>
  <si>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</si>
  <si>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</si>
  <si>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</si>
  <si>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</si>
  <si>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</si>
  <si>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</si>
  <si>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</si>
  <si>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</si>
  <si>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</si>
  <si>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</si>
  <si>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</si>
  <si>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</si>
  <si>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</si>
  <si>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</si>
  <si>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</si>
  <si>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</si>
  <si>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</si>
  <si>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</si>
  <si>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</si>
  <si>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</si>
  <si>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</si>
  <si>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</si>
  <si>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</si>
  <si>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</si>
  <si>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</si>
  <si>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</si>
  <si>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</si>
  <si>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</si>
  <si>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</si>
  <si>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</si>
  <si>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</si>
  <si>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</si>
  <si>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</si>
  <si>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</si>
  <si>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</si>
  <si>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</si>
  <si>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</si>
  <si>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</si>
  <si>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</si>
  <si>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</si>
  <si>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</si>
  <si>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</si>
  <si>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</si>
  <si>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</si>
  <si>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</si>
  <si>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</si>
  <si>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</si>
  <si>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</si>
  <si>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</si>
  <si>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</si>
  <si>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</si>
  <si>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</si>
  <si>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</si>
  <si>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</si>
  <si>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</si>
  <si>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</si>
  <si>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</si>
  <si>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</si>
  <si>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</si>
  <si>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</si>
  <si>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</si>
  <si>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</si>
  <si>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</si>
  <si>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</si>
  <si>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</si>
  <si>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</si>
  <si>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</si>
  <si>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</si>
  <si>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</si>
  <si>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</si>
  <si>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</si>
  <si>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</si>
  <si>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</si>
  <si>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</si>
  <si>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</si>
  <si>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</si>
  <si>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</si>
  <si>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</si>
  <si>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</si>
  <si>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</si>
  <si>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</si>
  <si>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</si>
  <si>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</si>
  <si>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</si>
  <si>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</si>
  <si>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</si>
  <si>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</si>
  <si>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</si>
  <si>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</si>
  <si>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</si>
  <si>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</si>
  <si>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</si>
  <si>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</si>
  <si>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</si>
  <si>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</si>
  <si>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</si>
  <si>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</si>
  <si>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</si>
  <si>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</si>
  <si>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</si>
  <si>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</si>
  <si>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</si>
  <si>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</si>
  <si>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</si>
  <si>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</si>
  <si>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</si>
  <si>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</si>
  <si>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</si>
  <si>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</si>
  <si>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</si>
  <si>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</si>
  <si>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</si>
  <si>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</si>
  <si>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</si>
  <si>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</si>
  <si>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</si>
  <si>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</si>
  <si>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</si>
  <si>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</si>
  <si>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</si>
  <si>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</si>
  <si>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</si>
  <si>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</si>
  <si>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</si>
  <si>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</si>
  <si>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</si>
  <si>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</si>
  <si>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</si>
  <si>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</si>
  <si>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</si>
  <si>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</si>
  <si>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</si>
  <si>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</si>
  <si>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</si>
  <si>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</si>
  <si>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</si>
  <si>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</si>
  <si>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</si>
  <si>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</si>
  <si>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</si>
  <si>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</si>
  <si>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</si>
  <si>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</si>
  <si>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</si>
  <si>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</si>
  <si>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</si>
  <si>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</si>
  <si>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</si>
  <si>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</si>
  <si>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</si>
  <si>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</si>
  <si>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</si>
  <si>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</si>
  <si>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</si>
  <si>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</si>
  <si>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</si>
  <si>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</si>
  <si>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</si>
  <si>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</si>
  <si>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</si>
  <si>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</si>
  <si>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</si>
  <si>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</si>
  <si>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</si>
  <si>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</si>
  <si>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</si>
  <si>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</si>
  <si>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</si>
  <si>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</si>
  <si>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</si>
  <si>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</si>
  <si>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</si>
  <si>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</si>
  <si>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</si>
  <si>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</si>
  <si>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</si>
  <si>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</si>
  <si>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</si>
  <si>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</si>
  <si>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</si>
  <si>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</si>
  <si>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</si>
  <si>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</si>
  <si>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</si>
  <si>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</si>
  <si>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</si>
  <si>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</si>
  <si>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</si>
  <si>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</si>
  <si>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</si>
  <si>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</si>
  <si>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</si>
  <si>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</si>
  <si>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</si>
  <si>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</si>
  <si>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</si>
  <si>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</si>
  <si>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</si>
  <si>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</si>
  <si>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</si>
  <si>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</si>
  <si>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</si>
  <si>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</si>
  <si>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</si>
  <si>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</si>
  <si>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</si>
  <si>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</si>
  <si>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</si>
  <si>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</si>
  <si>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</si>
  <si>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</si>
  <si>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</si>
  <si>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</si>
  <si>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</si>
  <si>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</si>
  <si>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</si>
  <si>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</si>
  <si>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</si>
  <si>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</si>
  <si>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</si>
  <si>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</si>
  <si>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</si>
  <si>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</si>
  <si>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</si>
  <si>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</si>
  <si>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</si>
  <si>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</si>
  <si>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</si>
  <si>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</si>
  <si>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</si>
  <si>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</si>
  <si>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</si>
  <si>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</si>
  <si>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</si>
  <si>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</si>
  <si>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</si>
  <si>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</si>
  <si>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</si>
  <si>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</si>
  <si>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</si>
  <si>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</si>
  <si>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</si>
  <si>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</si>
  <si>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</si>
  <si>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</si>
  <si>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</si>
  <si>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</si>
  <si>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</si>
  <si>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</si>
  <si>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</si>
  <si>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</si>
  <si>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</si>
  <si>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</si>
  <si>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</si>
  <si>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</si>
  <si>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</si>
  <si>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</si>
  <si>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</si>
  <si>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</si>
  <si>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</si>
  <si>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</si>
  <si>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</si>
  <si>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</si>
  <si>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</si>
  <si>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</si>
  <si>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</si>
  <si>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</si>
  <si>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</si>
  <si>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</si>
  <si>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</si>
  <si>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</si>
  <si>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</si>
  <si>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</si>
  <si>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</si>
  <si>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</si>
  <si>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</si>
  <si>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</si>
  <si>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</si>
  <si>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</si>
  <si>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</si>
  <si>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</si>
  <si>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</si>
  <si>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</si>
  <si>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</si>
  <si>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</si>
  <si>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</si>
  <si>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</si>
  <si>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</si>
  <si>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</si>
  <si>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</si>
  <si>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</si>
  <si>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</si>
  <si>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</si>
  <si>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</si>
  <si>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</si>
  <si>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</si>
  <si>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</si>
  <si>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</si>
  <si>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</si>
  <si>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</si>
  <si>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</si>
  <si>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</si>
  <si>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</si>
  <si>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</si>
  <si>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</si>
  <si>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</si>
  <si>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</si>
  <si>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</si>
  <si>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</si>
  <si>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</si>
  <si>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</si>
  <si>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</si>
  <si>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</si>
  <si>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</si>
  <si>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</si>
  <si>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</si>
  <si>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</si>
  <si>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</si>
  <si>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</si>
  <si>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</si>
  <si>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</si>
  <si>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</si>
  <si>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</si>
  <si>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</si>
  <si>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</si>
  <si>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</si>
  <si>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</si>
  <si>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</si>
  <si>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</si>
  <si>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</si>
  <si>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</si>
  <si>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</si>
  <si>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</si>
  <si>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</si>
  <si>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</si>
  <si>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</si>
  <si>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</si>
  <si>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</si>
  <si>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</si>
  <si>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</si>
  <si>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</si>
  <si>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</si>
  <si>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</si>
  <si>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</si>
  <si>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</si>
  <si>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</si>
  <si>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</si>
  <si>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</si>
  <si>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</si>
  <si>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</si>
  <si>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</si>
  <si>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</si>
  <si>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</si>
  <si>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</si>
  <si>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</si>
  <si>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</si>
  <si>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</si>
  <si>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</si>
  <si>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</si>
  <si>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</si>
  <si>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</si>
  <si>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</si>
  <si>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</si>
  <si>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</si>
  <si>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</si>
  <si>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</si>
  <si>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</si>
  <si>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</si>
  <si>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</si>
  <si>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</si>
  <si>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</si>
  <si>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</si>
  <si>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</si>
  <si>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</si>
  <si>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</si>
  <si>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</si>
  <si>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</si>
  <si>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</si>
  <si>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</si>
  <si>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</si>
  <si>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</si>
  <si>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</si>
  <si>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</si>
  <si>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</si>
  <si>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</si>
  <si>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</si>
  <si>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</si>
  <si>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</si>
  <si>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</si>
  <si>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</si>
  <si>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</si>
  <si>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</si>
  <si>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</si>
  <si>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</si>
  <si>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</si>
  <si>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</si>
  <si>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</si>
  <si>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</si>
  <si>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</si>
  <si>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</si>
  <si>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</si>
  <si>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</si>
  <si>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</si>
  <si>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</si>
  <si>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</si>
  <si>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</si>
  <si>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</si>
  <si>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</si>
  <si>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</si>
  <si>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</si>
  <si>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</si>
  <si>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</si>
  <si>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</si>
  <si>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</si>
  <si>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</si>
  <si>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</si>
  <si>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</si>
  <si>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</si>
  <si>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</si>
  <si>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</si>
  <si>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</si>
  <si>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</si>
  <si>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</si>
  <si>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</si>
  <si>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</si>
  <si>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</si>
  <si>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</si>
  <si>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</si>
  <si>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</si>
  <si>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</si>
  <si>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</si>
  <si>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</si>
  <si>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</si>
  <si>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</si>
  <si>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</si>
  <si>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</si>
  <si>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</si>
  <si>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</si>
  <si>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</si>
  <si>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</si>
  <si>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</si>
  <si>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</si>
  <si>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</si>
  <si>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</si>
  <si>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</si>
  <si>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</si>
  <si>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</si>
  <si>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</si>
  <si>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</si>
  <si>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</si>
  <si>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</si>
  <si>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</si>
  <si>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</si>
  <si>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</si>
  <si>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</si>
  <si>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</si>
  <si>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</si>
  <si>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</si>
  <si>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</si>
  <si>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</si>
  <si>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</si>
  <si>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</si>
  <si>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</si>
  <si>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</si>
  <si>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</si>
  <si>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</si>
  <si>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</si>
  <si>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</si>
  <si>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</si>
  <si>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</si>
  <si>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</si>
  <si>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</si>
  <si>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</si>
  <si>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</si>
  <si>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</si>
  <si>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</si>
  <si>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</si>
  <si>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</si>
  <si>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</si>
  <si>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</si>
  <si>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</si>
  <si>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</si>
  <si>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</si>
  <si>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</si>
  <si>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</si>
  <si>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</si>
  <si>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</si>
  <si>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</si>
  <si>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</si>
  <si>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</si>
  <si>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</si>
  <si>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</si>
  <si>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</si>
  <si>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</si>
  <si>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</si>
  <si>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</si>
  <si>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</si>
  <si>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</si>
  <si>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</si>
  <si>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</si>
  <si>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</si>
  <si>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</si>
  <si>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</si>
  <si>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</si>
  <si>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</si>
  <si>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</si>
  <si>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</si>
  <si>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</si>
  <si>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</si>
  <si>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</si>
  <si>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</si>
  <si>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</si>
  <si>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</si>
  <si>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</si>
  <si>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</si>
  <si>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</si>
  <si>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</si>
  <si>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</si>
  <si>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</si>
  <si>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</si>
  <si>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</si>
  <si>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</si>
  <si>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</si>
  <si>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</si>
  <si>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</si>
  <si>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</si>
  <si>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</si>
  <si>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</si>
  <si>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</si>
  <si>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</si>
  <si>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</si>
  <si>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</si>
  <si>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</si>
  <si>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</si>
  <si>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</si>
  <si>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</si>
  <si>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</si>
  <si>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</si>
  <si>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</si>
  <si>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</si>
  <si>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</si>
  <si>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</si>
  <si>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</si>
  <si>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</si>
  <si>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</si>
  <si>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</si>
  <si>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</si>
  <si>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</si>
  <si>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</si>
  <si>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</si>
  <si>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</si>
  <si>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</si>
  <si>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</si>
  <si>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</si>
  <si>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</si>
  <si>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</si>
  <si>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</si>
  <si>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</si>
  <si>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</si>
  <si>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</si>
  <si>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</si>
  <si>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</si>
  <si>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</si>
  <si>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</si>
  <si>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</si>
  <si>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</si>
  <si>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</si>
  <si>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</si>
  <si>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</si>
  <si>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</si>
  <si>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</si>
  <si>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</si>
  <si>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</si>
  <si>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</si>
  <si>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</si>
  <si>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</si>
  <si>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</si>
  <si>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</si>
  <si>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</si>
  <si>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</si>
  <si>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</si>
  <si>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</si>
  <si>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</si>
  <si>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</si>
  <si>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</si>
  <si>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</si>
  <si>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</si>
  <si>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</si>
  <si>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</si>
  <si>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</si>
  <si>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</si>
  <si>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</si>
  <si>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</si>
  <si>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</si>
  <si>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</si>
  <si>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</si>
  <si>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</si>
  <si>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</si>
  <si>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</si>
  <si>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</si>
  <si>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</si>
  <si>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</si>
  <si>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</si>
  <si>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</si>
  <si>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</si>
  <si>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</si>
  <si>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</si>
  <si>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</si>
  <si>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</si>
  <si>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</si>
  <si>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</si>
  <si>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</si>
  <si>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</si>
  <si>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</si>
  <si>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</si>
  <si>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</si>
  <si>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</si>
  <si>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</si>
  <si>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</si>
  <si>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</si>
  <si>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</si>
  <si>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</si>
  <si>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</si>
  <si>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</si>
  <si>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</si>
  <si>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</si>
  <si>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</si>
  <si>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</si>
  <si>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</si>
  <si>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</si>
  <si>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</si>
  <si>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</si>
  <si>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</si>
  <si>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</si>
  <si>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</si>
  <si>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</si>
  <si>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</si>
  <si>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</si>
  <si>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</si>
  <si>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</si>
  <si>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</si>
  <si>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</si>
  <si>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</si>
  <si>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</si>
  <si>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</si>
  <si>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</si>
  <si>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</si>
  <si>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</si>
  <si>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</si>
  <si>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</si>
  <si>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</si>
  <si>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</si>
  <si>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</si>
  <si>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</si>
  <si>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</si>
  <si>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</si>
  <si>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</si>
  <si>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</si>
  <si>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</si>
  <si>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</si>
  <si>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</si>
  <si>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</si>
  <si>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</si>
  <si>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</si>
  <si>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</si>
  <si>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</si>
  <si>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</si>
  <si>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</si>
  <si>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</si>
  <si>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</si>
  <si>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</si>
  <si>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</si>
  <si>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</si>
  <si>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</si>
  <si>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</si>
  <si>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</si>
  <si>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</si>
  <si>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</si>
  <si>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</si>
  <si>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</si>
  <si>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</si>
  <si>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</si>
  <si>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</si>
  <si>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</si>
  <si>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</si>
  <si>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</si>
  <si>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</si>
  <si>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</si>
  <si>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</si>
  <si>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</si>
  <si>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</si>
  <si>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</si>
  <si>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</si>
  <si>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</si>
  <si>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</si>
  <si>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</si>
  <si>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</si>
  <si>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</si>
  <si>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</si>
  <si>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</si>
  <si>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</si>
  <si>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</si>
  <si>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</si>
  <si>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</si>
  <si>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</si>
  <si>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</si>
  <si>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</si>
  <si>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</si>
  <si>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</si>
  <si>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</si>
  <si>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</si>
  <si>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</si>
  <si>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</si>
  <si>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</si>
  <si>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</si>
  <si>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</si>
  <si>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</si>
  <si>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</si>
  <si>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</si>
  <si>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</si>
  <si>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</si>
  <si>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</si>
  <si>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</si>
  <si>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</si>
  <si>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</si>
  <si>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</si>
  <si>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</si>
  <si>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</si>
  <si>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</si>
  <si>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</si>
  <si>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</si>
  <si>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</si>
  <si>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</si>
  <si>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</si>
  <si>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</si>
  <si>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</si>
  <si>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</si>
  <si>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</si>
  <si>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</si>
  <si>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</si>
  <si>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</si>
  <si>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</si>
  <si>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</si>
  <si>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</si>
  <si>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</si>
  <si>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</si>
  <si>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</si>
  <si>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</si>
  <si>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</si>
  <si>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</si>
  <si>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</si>
  <si>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</si>
  <si>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</si>
  <si>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</si>
  <si>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</si>
  <si>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</si>
  <si>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</si>
  <si>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</si>
  <si>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</si>
  <si>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</si>
  <si>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</si>
  <si>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</si>
  <si>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</si>
  <si>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</si>
  <si>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</si>
  <si>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</si>
  <si>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</si>
  <si>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</si>
  <si>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</si>
  <si>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</si>
  <si>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</si>
  <si>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</si>
  <si>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</si>
  <si>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</si>
  <si>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</si>
  <si>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</si>
  <si>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</si>
  <si>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</si>
  <si>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</si>
  <si>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</si>
  <si>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</si>
  <si>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</si>
  <si>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</si>
  <si>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</si>
  <si>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</si>
  <si>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</si>
  <si>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</si>
  <si>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</si>
  <si>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</si>
  <si>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</si>
  <si>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</si>
  <si>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</si>
  <si>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</si>
  <si>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</si>
  <si>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</si>
  <si>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</si>
  <si>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</si>
  <si>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</si>
  <si>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</si>
  <si>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</si>
  <si>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</si>
  <si>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</si>
  <si>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</si>
  <si>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</si>
  <si>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</si>
  <si>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</si>
  <si>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</si>
  <si>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</si>
  <si>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</si>
  <si>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</si>
  <si>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</si>
  <si>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</si>
  <si>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</si>
  <si>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</si>
  <si>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</si>
  <si>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</si>
  <si>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</si>
  <si>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</si>
  <si>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</si>
  <si>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</si>
  <si>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</si>
  <si>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</si>
  <si>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</si>
  <si>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</si>
  <si>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</si>
  <si>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</si>
  <si>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</si>
  <si>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</si>
  <si>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</si>
  <si>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</si>
  <si>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</si>
  <si>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</si>
  <si>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</si>
  <si>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</si>
  <si>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</si>
  <si>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</si>
  <si>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</si>
  <si>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</si>
  <si>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</si>
  <si>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</si>
  <si>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</si>
  <si>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</si>
  <si>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</si>
  <si>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</si>
  <si>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</si>
  <si>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</si>
  <si>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</si>
  <si>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</si>
  <si>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</si>
  <si>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</si>
  <si>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</si>
  <si>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</si>
  <si>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</si>
  <si>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</si>
  <si>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</si>
  <si>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</si>
  <si>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</si>
  <si>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</si>
  <si>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</si>
  <si>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</si>
  <si>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</si>
  <si>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</si>
  <si>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</si>
  <si>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</si>
  <si>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</si>
  <si>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</si>
  <si>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</si>
  <si>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</si>
  <si>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</si>
  <si>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</si>
  <si>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</si>
  <si>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</si>
  <si>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</si>
  <si>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</si>
  <si>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</si>
  <si>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</si>
  <si>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</si>
  <si>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</si>
  <si>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</si>
  <si>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</si>
  <si>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</si>
  <si>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</si>
  <si>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</si>
  <si>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</si>
  <si>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</si>
  <si>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</si>
  <si>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</si>
  <si>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</si>
  <si>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</si>
  <si>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</si>
  <si>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</si>
  <si>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</si>
  <si>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</si>
  <si>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</si>
  <si>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</si>
  <si>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</si>
  <si>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</si>
  <si>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</si>
  <si>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</si>
  <si>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</si>
  <si>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</si>
  <si>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</si>
  <si>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</si>
  <si>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</si>
  <si>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</si>
  <si>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</si>
  <si>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</si>
  <si>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</si>
  <si>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</si>
  <si>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</si>
  <si>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</si>
  <si>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</si>
  <si>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</si>
  <si>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</si>
  <si>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</si>
  <si>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</si>
  <si>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</si>
  <si>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</si>
  <si>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</si>
  <si>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</si>
  <si>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</si>
  <si>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</si>
  <si>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</si>
  <si>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</si>
  <si>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</si>
  <si>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</si>
  <si>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</si>
  <si>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</si>
  <si>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</si>
  <si>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</si>
  <si>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</si>
  <si>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</si>
  <si>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</si>
  <si>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</si>
  <si>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</si>
  <si>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</si>
  <si>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</si>
  <si>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</si>
  <si>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</si>
  <si>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</si>
  <si>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</si>
  <si>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</si>
  <si>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</si>
  <si>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</si>
  <si>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</si>
  <si>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</si>
  <si>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</si>
  <si>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</si>
  <si>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</si>
  <si>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</si>
  <si>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</si>
  <si>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</si>
  <si>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</si>
  <si>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</si>
  <si>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</si>
  <si>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</si>
  <si>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</si>
  <si>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</si>
  <si>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</si>
  <si>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</si>
  <si>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</si>
  <si>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</si>
  <si>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</si>
  <si>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</si>
  <si>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</si>
  <si>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</si>
  <si>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</si>
  <si>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</si>
  <si>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</si>
  <si>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</si>
  <si>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</si>
  <si>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</si>
  <si>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</si>
  <si>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</si>
  <si>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</si>
  <si>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</si>
  <si>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</si>
  <si>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</si>
  <si>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</si>
  <si>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</si>
  <si>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</si>
  <si>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</si>
  <si>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</si>
  <si>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</si>
  <si>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</si>
  <si>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</si>
  <si>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</si>
  <si>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</si>
  <si>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</si>
  <si>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</si>
  <si>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</si>
  <si>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</si>
  <si>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</si>
  <si>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</si>
  <si>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</si>
  <si>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</si>
  <si>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</si>
  <si>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</si>
  <si>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</si>
  <si>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</si>
  <si>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</si>
  <si>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</si>
  <si>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</si>
  <si>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</si>
  <si>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</si>
  <si>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</si>
  <si>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</si>
  <si>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</si>
  <si>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</si>
  <si>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</si>
  <si>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</si>
  <si>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</si>
  <si>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</si>
  <si>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</si>
  <si>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</si>
  <si>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</si>
  <si>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</si>
  <si>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</si>
  <si>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</si>
  <si>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</si>
  <si>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</si>
  <si>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</si>
  <si>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</si>
  <si>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</si>
  <si>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</si>
  <si>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</si>
  <si>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</si>
  <si>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</si>
  <si>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</si>
  <si>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</si>
  <si>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</si>
  <si>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</si>
  <si>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</si>
  <si>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</si>
  <si>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</si>
  <si>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</si>
  <si>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</si>
  <si>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</si>
  <si>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</si>
  <si>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</si>
  <si>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</si>
  <si>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</si>
  <si>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</si>
  <si>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</si>
  <si>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</si>
  <si>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</si>
  <si>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</si>
  <si>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</si>
  <si>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</si>
  <si>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</si>
  <si>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</si>
  <si>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</si>
  <si>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</si>
  <si>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</si>
  <si>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</si>
  <si>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</si>
  <si>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</si>
  <si>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</si>
  <si>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</si>
  <si>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</si>
  <si>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</si>
  <si>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</si>
  <si>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</si>
  <si>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</si>
  <si>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</si>
  <si>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</si>
  <si>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</si>
  <si>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</si>
  <si>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</si>
  <si>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</si>
  <si>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</si>
  <si>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</si>
  <si>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</si>
  <si>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</si>
  <si>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</si>
  <si>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</si>
  <si>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</si>
  <si>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</si>
  <si>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</si>
  <si>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</si>
  <si>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</si>
  <si>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</si>
  <si>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</si>
  <si>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</si>
  <si>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</si>
  <si>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</si>
  <si>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</si>
  <si>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</si>
  <si>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</si>
  <si>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</si>
  <si>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</si>
  <si>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</si>
  <si>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</si>
  <si>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</si>
  <si>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</si>
  <si>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</si>
  <si>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</si>
  <si>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</si>
  <si>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</si>
  <si>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</si>
  <si>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</si>
  <si>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</si>
  <si>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</si>
  <si>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</si>
  <si>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</si>
  <si>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</si>
  <si>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</si>
  <si>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</si>
  <si>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</si>
  <si>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</si>
  <si>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</si>
  <si>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</si>
  <si>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</si>
  <si>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</si>
  <si>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</si>
  <si>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</si>
  <si>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</si>
  <si>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</si>
  <si>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</si>
  <si>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</si>
  <si>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</si>
  <si>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</si>
  <si>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</si>
  <si>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</si>
  <si>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</si>
  <si>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</si>
  <si>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</si>
  <si>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</si>
  <si>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</si>
  <si>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</si>
  <si>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</si>
  <si>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</si>
  <si>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</si>
  <si>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</si>
  <si>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</si>
  <si>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</si>
  <si>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</si>
  <si>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</si>
  <si>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</si>
  <si>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</si>
  <si>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</si>
  <si>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</si>
  <si>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</si>
  <si>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</si>
  <si>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</si>
  <si>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</si>
  <si>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</si>
  <si>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</si>
  <si>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</si>
  <si>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</si>
  <si>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</si>
  <si>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</si>
  <si>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</si>
  <si>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</si>
  <si>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</si>
  <si>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</si>
  <si>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</si>
  <si>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</si>
  <si>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</si>
  <si>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</si>
  <si>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</si>
  <si>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</si>
  <si>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</si>
  <si>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</si>
  <si>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</si>
  <si>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</si>
  <si>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</si>
  <si>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</si>
  <si>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</si>
  <si>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</si>
  <si>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</si>
  <si>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</si>
  <si>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</si>
  <si>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</si>
  <si>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</si>
  <si>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</si>
  <si>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</si>
  <si>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</si>
  <si>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</si>
  <si>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</si>
  <si>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</si>
  <si>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</si>
  <si>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</si>
  <si>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</si>
  <si>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</si>
  <si>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</si>
  <si>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</si>
  <si>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</si>
  <si>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</si>
  <si>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</si>
  <si>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</si>
  <si>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</si>
  <si>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</si>
  <si>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</si>
  <si>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</si>
  <si>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</si>
  <si>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</si>
  <si>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</si>
  <si>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</si>
  <si>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</si>
  <si>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</si>
  <si>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</si>
  <si>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</si>
  <si>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</si>
  <si>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</si>
  <si>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</si>
  <si>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</si>
  <si>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</si>
  <si>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</si>
  <si>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</si>
  <si>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</si>
  <si>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</si>
  <si>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</si>
  <si>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</si>
  <si>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</si>
  <si>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</si>
  <si>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</si>
  <si>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</si>
  <si>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</si>
  <si>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</si>
  <si>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</si>
  <si>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</si>
  <si>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</si>
  <si>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</si>
  <si>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</si>
  <si>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</si>
  <si>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</si>
  <si>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</si>
  <si>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</si>
  <si>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</si>
  <si>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</si>
  <si>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</si>
  <si>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</si>
  <si>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</si>
  <si>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</si>
  <si>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</si>
  <si>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</si>
  <si>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</si>
  <si>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</si>
  <si>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</si>
  <si>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</si>
  <si>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</si>
  <si>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</si>
  <si>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</si>
  <si>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</si>
  <si>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</si>
  <si>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</si>
  <si>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</si>
  <si>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</si>
  <si>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</si>
  <si>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</si>
  <si>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</si>
  <si>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</si>
  <si>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</si>
  <si>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</si>
  <si>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</si>
  <si>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</si>
  <si>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</si>
  <si>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</si>
  <si>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</si>
  <si>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</si>
  <si>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</si>
  <si>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</si>
  <si>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</si>
  <si>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</si>
  <si>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</si>
  <si>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</si>
  <si>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</si>
  <si>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</si>
  <si>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</si>
  <si>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</si>
  <si>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</si>
  <si>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</si>
  <si>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</si>
  <si>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</si>
  <si>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</si>
  <si>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</si>
  <si>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</si>
  <si>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</si>
  <si>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</si>
  <si>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</si>
  <si>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</si>
  <si>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</si>
  <si>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</si>
  <si>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</si>
  <si>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</si>
  <si>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</si>
  <si>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</si>
  <si>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</si>
  <si>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</si>
  <si>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</si>
  <si>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</si>
  <si>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</si>
  <si>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</si>
  <si>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</si>
  <si>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</si>
  <si>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</si>
  <si>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</si>
  <si>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</si>
  <si>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</si>
  <si>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</si>
  <si>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</si>
  <si>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</si>
  <si>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</si>
  <si>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</si>
  <si>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</si>
  <si>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</si>
  <si>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</si>
  <si>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</si>
  <si>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</si>
  <si>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</si>
  <si>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</si>
  <si>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</si>
  <si>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</si>
  <si>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</si>
  <si>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</si>
  <si>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</si>
  <si>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</si>
  <si>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</si>
  <si>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</si>
  <si>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</si>
  <si>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</si>
  <si>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</si>
  <si>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</si>
  <si>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</si>
  <si>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</si>
  <si>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</si>
  <si>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</si>
  <si>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</si>
  <si>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</si>
  <si>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</si>
  <si>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</si>
  <si>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</si>
  <si>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</si>
  <si>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</si>
  <si>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</si>
  <si>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</si>
  <si>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</si>
  <si>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</si>
  <si>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</si>
  <si>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</si>
  <si>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</si>
  <si>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</si>
  <si>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</si>
  <si>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</si>
  <si>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</si>
  <si>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</si>
  <si>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</si>
  <si>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</si>
  <si>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</si>
  <si>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</si>
  <si>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</si>
  <si>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</si>
  <si>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</si>
  <si>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</si>
  <si>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</si>
  <si>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</si>
  <si>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</si>
  <si>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</si>
  <si>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</si>
  <si>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</si>
  <si>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</si>
  <si>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</si>
  <si>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</si>
  <si>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</si>
  <si>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</si>
  <si>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</si>
  <si>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</si>
  <si>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</si>
  <si>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</si>
  <si>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</si>
  <si>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</si>
  <si>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</si>
  <si>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</si>
  <si>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</si>
  <si>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</si>
  <si>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</si>
  <si>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</si>
  <si>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</si>
  <si>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</si>
  <si>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</si>
  <si>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</si>
  <si>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</si>
  <si>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</si>
  <si>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</si>
  <si>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</si>
  <si>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</si>
  <si>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</si>
  <si>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</si>
  <si>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</si>
  <si>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</si>
  <si>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</si>
  <si>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</si>
  <si>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</si>
  <si>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</si>
  <si>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</si>
  <si>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</si>
  <si>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</si>
  <si>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</si>
  <si>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</si>
  <si>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</si>
  <si>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</si>
  <si>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</si>
  <si>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</si>
  <si>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</si>
  <si>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</si>
  <si>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</si>
  <si>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</si>
  <si>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</si>
  <si>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</si>
  <si>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</si>
  <si>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</si>
  <si>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</si>
  <si>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</si>
  <si>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</si>
  <si>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</si>
  <si>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</si>
  <si>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</si>
  <si>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</si>
  <si>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</si>
  <si>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</si>
  <si>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</si>
  <si>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</si>
  <si>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</si>
  <si>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</si>
  <si>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</si>
  <si>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</si>
  <si>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</si>
  <si>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</si>
  <si>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</si>
  <si>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</si>
  <si>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</si>
  <si>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</si>
  <si>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</si>
  <si>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</si>
  <si>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</si>
  <si>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</si>
  <si>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</si>
  <si>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</si>
  <si>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</si>
  <si>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</si>
  <si>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</si>
  <si>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</si>
  <si>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</si>
  <si>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</si>
  <si>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</si>
  <si>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</si>
  <si>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</si>
  <si>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</si>
  <si>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</si>
  <si>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</si>
  <si>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</si>
  <si>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</si>
  <si>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</si>
  <si>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</si>
  <si>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</si>
  <si>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</si>
  <si>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</si>
  <si>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</si>
  <si>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</si>
  <si>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</si>
  <si>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</si>
  <si>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</si>
  <si>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</si>
  <si>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</si>
  <si>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</si>
  <si>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</si>
  <si>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</si>
  <si>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</si>
  <si>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</si>
  <si>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</si>
  <si>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</si>
  <si>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</si>
  <si>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</si>
  <si>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</si>
  <si>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</si>
  <si>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</si>
  <si>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</si>
  <si>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</si>
  <si>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</si>
  <si>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</si>
  <si>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</si>
  <si>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</si>
  <si>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</si>
  <si>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</si>
  <si>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</si>
  <si>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</si>
  <si>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</si>
  <si>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</si>
  <si>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</si>
  <si>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</si>
  <si>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</si>
  <si>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</si>
  <si>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</si>
  <si>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</si>
  <si>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</si>
  <si>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</si>
  <si>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</si>
  <si>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</si>
  <si>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</si>
  <si>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</si>
  <si>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</si>
  <si>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</si>
  <si>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</si>
  <si>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</si>
  <si>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</si>
  <si>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</si>
  <si>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</si>
  <si>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</si>
  <si>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</si>
  <si>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</si>
  <si>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</si>
  <si>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</si>
  <si>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</si>
  <si>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</si>
  <si>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</si>
  <si>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</si>
  <si>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</si>
  <si>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</si>
  <si>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</si>
  <si>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</si>
  <si>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</si>
  <si>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</si>
  <si>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</si>
  <si>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</si>
  <si>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</si>
  <si>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</si>
  <si>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</si>
  <si>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</si>
  <si>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</si>
  <si>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</si>
  <si>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</si>
  <si>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</si>
  <si>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</si>
  <si>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</si>
  <si>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</si>
  <si>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</si>
  <si>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</si>
  <si>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</si>
  <si>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</si>
  <si>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</si>
  <si>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</si>
  <si>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</si>
  <si>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</si>
  <si>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</si>
  <si>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</si>
  <si>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</si>
  <si>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</si>
  <si>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</si>
  <si>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</si>
  <si>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</si>
  <si>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</si>
  <si>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</si>
  <si>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</si>
  <si>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</si>
  <si>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</si>
  <si>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</si>
  <si>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</si>
  <si>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</si>
  <si>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</si>
  <si>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</si>
  <si>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</si>
  <si>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</si>
  <si>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</si>
  <si>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</si>
  <si>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</si>
  <si>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</si>
  <si>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</si>
  <si>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</si>
  <si>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</si>
  <si>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</si>
  <si>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</si>
  <si>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</si>
  <si>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</si>
  <si>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</si>
  <si>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</si>
  <si>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</si>
  <si>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</si>
  <si>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</si>
  <si>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</si>
  <si>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</si>
  <si>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</si>
  <si>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</si>
  <si>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</si>
  <si>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</si>
  <si>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</si>
  <si>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</si>
  <si>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</si>
  <si>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</si>
  <si>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</si>
  <si>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</si>
  <si>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</si>
  <si>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</si>
  <si>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</si>
  <si>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</si>
  <si>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</si>
  <si>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</si>
  <si>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</si>
  <si>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</si>
  <si>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</si>
  <si>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</si>
  <si>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</si>
  <si>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</si>
  <si>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</si>
  <si>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</si>
  <si>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</si>
  <si>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</si>
  <si>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</si>
  <si>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</si>
  <si>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</si>
  <si>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</si>
  <si>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</si>
  <si>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</si>
  <si>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</si>
  <si>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</si>
  <si>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</si>
  <si>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</si>
  <si>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</si>
  <si>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</si>
  <si>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</si>
  <si>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</si>
  <si>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</si>
  <si>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</si>
  <si>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</si>
  <si>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</si>
  <si>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</si>
  <si>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</si>
  <si>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</si>
  <si>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</si>
  <si>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</si>
  <si>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</si>
  <si>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</si>
  <si>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</si>
  <si>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</si>
  <si>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</si>
  <si>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</si>
  <si>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</si>
  <si>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</si>
  <si>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</si>
  <si>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</si>
  <si>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</si>
  <si>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</si>
  <si>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</si>
  <si>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</si>
  <si>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</si>
  <si>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</si>
  <si>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</si>
  <si>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</si>
  <si>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</si>
  <si>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</si>
  <si>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</si>
  <si>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</si>
  <si>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</si>
  <si>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</si>
  <si>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</si>
  <si>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</si>
  <si>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</si>
  <si>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</si>
  <si>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</si>
  <si>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</si>
  <si>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</si>
  <si>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</si>
  <si>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</si>
  <si>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</si>
  <si>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</si>
  <si>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</si>
  <si>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</si>
  <si>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</si>
  <si>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</si>
  <si>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</si>
  <si>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</si>
  <si>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</si>
  <si>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</si>
  <si>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</si>
  <si>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</si>
  <si>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</si>
  <si>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</si>
  <si>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</si>
  <si>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</si>
  <si>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</si>
  <si>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</si>
  <si>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</si>
  <si>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</si>
  <si>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</si>
  <si>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</si>
  <si>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</si>
  <si>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</si>
  <si>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</si>
  <si>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</si>
  <si>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</si>
  <si>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</si>
  <si>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</si>
  <si>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</si>
  <si>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</si>
  <si>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</si>
  <si>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</si>
  <si>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</si>
  <si>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</si>
  <si>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</si>
  <si>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</si>
  <si>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</si>
  <si>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</si>
  <si>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</si>
  <si>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</si>
  <si>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</si>
  <si>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</si>
  <si>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</si>
  <si>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</si>
  <si>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</si>
  <si>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</si>
  <si>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</si>
  <si>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</si>
  <si>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</si>
  <si>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</si>
  <si>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</si>
  <si>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</si>
  <si>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</si>
  <si>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</si>
  <si>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</si>
  <si>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</si>
  <si>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</si>
  <si>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</si>
  <si>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</si>
  <si>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</si>
  <si>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</si>
  <si>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</si>
  <si>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</si>
  <si>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</si>
  <si>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</si>
  <si>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</si>
  <si>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</si>
  <si>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</si>
  <si>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</si>
  <si>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</si>
  <si>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</si>
  <si>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</si>
  <si>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</si>
  <si>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</si>
  <si>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</si>
  <si>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</si>
  <si>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</si>
  <si>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</si>
  <si>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</si>
  <si>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</si>
  <si>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</si>
  <si>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</si>
  <si>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</si>
  <si>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</si>
  <si>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</si>
  <si>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</si>
  <si>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</si>
  <si>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</si>
  <si>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</si>
  <si>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</si>
  <si>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</si>
  <si>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</si>
  <si>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</si>
  <si>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</si>
  <si>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</si>
  <si>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</si>
  <si>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</si>
  <si>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</si>
  <si>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</si>
  <si>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</si>
  <si>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</si>
  <si>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</si>
  <si>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</si>
  <si>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</si>
  <si>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</si>
  <si>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</si>
  <si>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</si>
  <si>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</si>
  <si>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</si>
  <si>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</si>
  <si>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</si>
  <si>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</si>
  <si>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</si>
  <si>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</si>
  <si>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</si>
  <si>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</si>
  <si>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</si>
  <si>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</si>
  <si>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</si>
  <si>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</si>
  <si>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</si>
  <si>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</si>
  <si>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</si>
  <si>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</si>
  <si>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</si>
  <si>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</si>
  <si>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</si>
  <si>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</si>
  <si>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</si>
  <si>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</si>
  <si>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</si>
  <si>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</si>
  <si>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</si>
  <si>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</si>
  <si>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</si>
  <si>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</si>
  <si>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</si>
  <si>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</si>
  <si>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</si>
  <si>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</si>
  <si>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</si>
  <si>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</si>
  <si>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</si>
  <si>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</si>
  <si>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</si>
  <si>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</si>
  <si>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</si>
  <si>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</si>
  <si>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</si>
  <si>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</si>
  <si>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</si>
  <si>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</si>
  <si>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</si>
  <si>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</si>
  <si>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</si>
  <si>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</si>
  <si>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</si>
  <si>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</si>
  <si>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</si>
  <si>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</si>
  <si>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</si>
  <si>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</si>
  <si>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</si>
  <si>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</si>
  <si>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</si>
  <si>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</si>
  <si>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</si>
  <si>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</si>
  <si>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</si>
  <si>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</si>
  <si>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</si>
  <si>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</si>
  <si>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</si>
  <si>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</si>
  <si>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</si>
  <si>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</si>
  <si>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</si>
  <si>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</si>
  <si>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</si>
  <si>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</si>
  <si>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</si>
  <si>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</si>
  <si>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</si>
  <si>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</si>
  <si>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</si>
  <si>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</si>
  <si>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</si>
  <si>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</si>
  <si>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</si>
  <si>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</si>
  <si>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</si>
  <si>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</si>
  <si>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</si>
  <si>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</si>
  <si>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</si>
  <si>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</si>
  <si>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</si>
  <si>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</si>
  <si>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</si>
  <si>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</si>
  <si>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</si>
  <si>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</si>
  <si>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</si>
  <si>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</si>
  <si>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</si>
  <si>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</si>
  <si>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</si>
  <si>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</si>
  <si>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</si>
  <si>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</si>
  <si>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</si>
  <si>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</si>
  <si>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</si>
  <si>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</si>
  <si>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</si>
  <si>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</si>
  <si>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</si>
  <si>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</si>
  <si>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</si>
  <si>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</si>
  <si>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</si>
  <si>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</si>
  <si>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</si>
  <si>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</si>
  <si>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</si>
  <si>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</si>
  <si>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</si>
  <si>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</si>
  <si>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</si>
  <si>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</si>
  <si>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</si>
  <si>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</si>
  <si>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</si>
  <si>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</si>
  <si>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</si>
  <si>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</si>
  <si>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</si>
  <si>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</si>
  <si>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</si>
  <si>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</si>
  <si>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</si>
  <si>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</si>
  <si>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</si>
  <si>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</si>
  <si>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</si>
  <si>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</si>
  <si>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</si>
  <si>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</si>
  <si>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</si>
  <si>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</si>
  <si>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</si>
  <si>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</si>
  <si>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</si>
  <si>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</si>
  <si>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</si>
  <si>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</si>
  <si>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</si>
  <si>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</si>
  <si>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</si>
  <si>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</si>
  <si>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</si>
  <si>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</si>
  <si>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</si>
  <si>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</si>
  <si>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</si>
  <si>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</si>
  <si>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</si>
  <si>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</si>
  <si>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</si>
  <si>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</si>
  <si>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</si>
  <si>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</si>
  <si>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</si>
  <si>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</si>
  <si>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</si>
  <si>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</si>
  <si>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</si>
  <si>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</si>
  <si>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</si>
  <si>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</si>
  <si>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</si>
  <si>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</si>
  <si>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</si>
  <si>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</si>
  <si>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</si>
  <si>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</si>
  <si>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</si>
  <si>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</si>
  <si>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</si>
  <si>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</si>
  <si>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</si>
  <si>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</si>
  <si>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</si>
  <si>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</si>
  <si>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</si>
  <si>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</si>
  <si>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</si>
  <si>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</si>
  <si>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</si>
  <si>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</si>
  <si>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</si>
  <si>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</si>
  <si>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</si>
  <si>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</si>
  <si>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</si>
  <si>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</si>
  <si>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</si>
  <si>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</si>
  <si>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</si>
  <si>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</si>
  <si>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</si>
  <si>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</si>
  <si>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</si>
  <si>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</si>
  <si>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</si>
  <si>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</si>
  <si>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</si>
  <si>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</si>
  <si>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</si>
  <si>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</si>
  <si>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</si>
  <si>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</si>
  <si>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</si>
  <si>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</si>
  <si>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</si>
  <si>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</si>
  <si>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</si>
  <si>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</si>
  <si>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</si>
  <si>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</si>
  <si>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</si>
  <si>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</si>
  <si>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</si>
  <si>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</si>
  <si>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</si>
  <si>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</si>
  <si>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</si>
  <si>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</si>
  <si>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</si>
  <si>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</si>
  <si>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</si>
  <si>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</si>
  <si>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</si>
  <si>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</si>
  <si>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</si>
  <si>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</si>
  <si>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</si>
  <si>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</si>
  <si>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</si>
  <si>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</si>
  <si>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</si>
  <si>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</si>
  <si>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</si>
  <si>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</si>
  <si>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</si>
  <si>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</si>
  <si>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</si>
  <si>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</si>
  <si>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</si>
  <si>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</si>
  <si>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</si>
  <si>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</si>
  <si>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</si>
  <si>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</si>
  <si>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</si>
  <si>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</si>
  <si>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</si>
  <si>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</si>
  <si>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</si>
  <si>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</si>
  <si>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</si>
  <si>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</si>
  <si>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</si>
  <si>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</si>
  <si>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</si>
  <si>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</si>
  <si>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</si>
  <si>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</si>
  <si>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</si>
  <si>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</si>
  <si>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</si>
  <si>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</si>
  <si>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</si>
  <si>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</si>
  <si>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</si>
  <si>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</si>
  <si>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</si>
  <si>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</si>
  <si>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</si>
  <si>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</si>
  <si>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</si>
  <si>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</si>
  <si>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</si>
  <si>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</si>
  <si>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</si>
  <si>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</si>
  <si>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</si>
  <si>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</si>
  <si>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</si>
  <si>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</si>
  <si>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</si>
  <si>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</si>
  <si>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</si>
  <si>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</si>
  <si>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</si>
  <si>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</si>
  <si>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</si>
  <si>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</si>
  <si>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</si>
  <si>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</si>
  <si>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</si>
  <si>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</si>
  <si>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</si>
  <si>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</si>
  <si>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</si>
  <si>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</si>
  <si>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</si>
  <si>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</si>
  <si>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</si>
  <si>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</si>
  <si>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</si>
  <si>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</si>
  <si>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</si>
  <si>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</si>
  <si>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</si>
  <si>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</si>
  <si>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</si>
  <si>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</si>
  <si>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</si>
  <si>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</si>
  <si>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</si>
  <si>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</si>
  <si>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</si>
  <si>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</si>
  <si>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</si>
  <si>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</si>
  <si>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</si>
  <si>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</si>
  <si>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</si>
  <si>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</si>
  <si>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</si>
  <si>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</si>
  <si>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</si>
  <si>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</si>
  <si>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</si>
  <si>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</si>
  <si>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</si>
  <si>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</si>
  <si>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</si>
  <si>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</si>
  <si>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</si>
  <si>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</si>
  <si>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</si>
  <si>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</si>
  <si>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</si>
  <si>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</si>
  <si>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</si>
  <si>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</si>
  <si>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</si>
  <si>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</si>
  <si>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</si>
  <si>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</si>
  <si>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</si>
  <si>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</si>
  <si>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</si>
  <si>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</si>
  <si>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</si>
  <si>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</si>
  <si>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</si>
  <si>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</si>
  <si>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</si>
  <si>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</si>
  <si>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</si>
  <si>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</si>
  <si>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</si>
  <si>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</si>
  <si>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</si>
  <si>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</si>
  <si>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</si>
  <si>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</si>
  <si>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</si>
  <si>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</si>
  <si>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</si>
  <si>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</si>
  <si>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</si>
  <si>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</si>
  <si>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</si>
  <si>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</si>
  <si>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</si>
  <si>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</si>
  <si>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</si>
  <si>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</si>
  <si>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</si>
  <si>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</si>
  <si>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</si>
  <si>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</si>
  <si>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</si>
  <si>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</si>
  <si>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</si>
  <si>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</si>
  <si>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</si>
  <si>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</si>
  <si>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</si>
  <si>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</si>
  <si>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</si>
  <si>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</si>
  <si>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</si>
  <si>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</si>
  <si>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</si>
  <si>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</si>
  <si>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</si>
  <si>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</si>
  <si>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</si>
  <si>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</si>
  <si>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</si>
  <si>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</si>
  <si>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</si>
  <si>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</si>
  <si>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</si>
  <si>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</si>
  <si>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</si>
  <si>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</si>
  <si>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</si>
  <si>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</si>
  <si>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</si>
  <si>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</si>
  <si>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</si>
  <si>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</si>
  <si>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</si>
  <si>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</si>
  <si>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</si>
  <si>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</si>
  <si>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</si>
  <si>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</si>
  <si>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</si>
  <si>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</si>
  <si>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</si>
  <si>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</si>
  <si>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</si>
  <si>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</si>
  <si>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</si>
  <si>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</si>
  <si>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</si>
  <si>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</si>
  <si>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</si>
  <si>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</si>
  <si>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</si>
  <si>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</si>
  <si>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</si>
  <si>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</si>
  <si>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</si>
  <si>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</si>
  <si>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</si>
  <si>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</si>
  <si>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</si>
  <si>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</si>
  <si>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</si>
  <si>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</si>
  <si>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</si>
  <si>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</si>
  <si>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</si>
  <si>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</si>
  <si>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</si>
  <si>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</si>
  <si>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</si>
  <si>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</si>
  <si>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</si>
  <si>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</si>
  <si>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</si>
  <si>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</si>
  <si>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</si>
  <si>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</si>
  <si>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</si>
  <si>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</si>
  <si>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</si>
  <si>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</si>
  <si>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</si>
  <si>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</si>
  <si>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</si>
  <si>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</si>
  <si>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</si>
  <si>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</si>
  <si>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</si>
  <si>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</si>
  <si>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</si>
  <si>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</si>
  <si>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</si>
  <si>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</si>
  <si>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</si>
  <si>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</si>
  <si>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</si>
  <si>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</si>
  <si>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</si>
  <si>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</si>
  <si>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</si>
  <si>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</si>
  <si>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</si>
  <si>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</si>
  <si>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</si>
  <si>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</si>
  <si>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</si>
  <si>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</si>
  <si>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</si>
  <si>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</si>
  <si>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</si>
  <si>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</si>
  <si>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</si>
  <si>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</si>
  <si>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</si>
  <si>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</si>
  <si>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</si>
  <si>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</si>
  <si>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</si>
  <si>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</si>
  <si>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</si>
  <si>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</si>
  <si>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</si>
  <si>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</si>
  <si>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</si>
  <si>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</si>
  <si>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</si>
  <si>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</si>
  <si>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</si>
  <si>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</si>
  <si>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</si>
  <si>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</si>
  <si>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</si>
  <si>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</si>
  <si>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</si>
  <si>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</si>
  <si>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</si>
  <si>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</si>
  <si>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</si>
  <si>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</si>
  <si>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</si>
  <si>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</si>
  <si>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</si>
  <si>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</si>
  <si>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</si>
  <si>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</si>
  <si>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</si>
  <si>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</si>
  <si>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</si>
  <si>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</si>
  <si>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</si>
  <si>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</si>
  <si>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</si>
  <si>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</si>
  <si>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</si>
  <si>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</si>
  <si>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</si>
  <si>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</si>
  <si>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</si>
  <si>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</si>
  <si>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</si>
  <si>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</si>
  <si>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</si>
  <si>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</si>
  <si>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</si>
  <si>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</si>
  <si>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</si>
  <si>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</si>
  <si>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</si>
  <si>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</si>
  <si>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</si>
  <si>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</si>
  <si>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</si>
  <si>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</si>
  <si>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</si>
  <si>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</si>
  <si>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</si>
  <si>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</si>
  <si>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</si>
  <si>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</si>
  <si>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</si>
  <si>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</si>
  <si>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</si>
  <si>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</si>
  <si>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</si>
  <si>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</si>
  <si>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</si>
  <si>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</si>
  <si>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</si>
  <si>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</si>
  <si>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</si>
  <si>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</si>
  <si>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</si>
  <si>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</si>
  <si>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</si>
  <si>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</si>
  <si>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</si>
  <si>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</si>
  <si>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</si>
  <si>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</si>
  <si>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</si>
  <si>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</si>
  <si>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</si>
  <si>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</si>
  <si>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</si>
  <si>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</si>
  <si>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</si>
  <si>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</si>
  <si>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</si>
  <si>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</si>
  <si>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</si>
  <si>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</si>
  <si>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</si>
  <si>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</si>
  <si>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</si>
  <si>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</si>
  <si>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</si>
  <si>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</si>
  <si>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</si>
  <si>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</si>
  <si>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</si>
  <si>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</si>
  <si>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</si>
  <si>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</si>
  <si>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</si>
  <si>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</si>
  <si>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</si>
  <si>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</si>
  <si>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</si>
  <si>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</si>
  <si>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</si>
  <si>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</si>
  <si>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</si>
  <si>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</si>
  <si>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</si>
  <si>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</si>
  <si>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</si>
  <si>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</si>
  <si>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</si>
  <si>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</si>
  <si>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</si>
  <si>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</si>
  <si>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</si>
  <si>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</si>
  <si>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</si>
  <si>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</si>
  <si>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</si>
  <si>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</si>
  <si>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</si>
  <si>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</si>
  <si>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</si>
  <si>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</si>
  <si>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</si>
  <si>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</si>
  <si>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</si>
  <si>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</si>
  <si>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</si>
  <si>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</si>
  <si>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</si>
  <si>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</si>
  <si>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</si>
  <si>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</si>
  <si>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</si>
  <si>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</si>
  <si>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</si>
  <si>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</si>
  <si>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</si>
  <si>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</si>
  <si>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</si>
  <si>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</si>
  <si>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</si>
  <si>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</si>
  <si>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</si>
  <si>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</si>
  <si>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</si>
  <si>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</si>
  <si>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</si>
  <si>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</si>
  <si>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</si>
  <si>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</si>
  <si>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</si>
  <si>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</si>
  <si>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</si>
  <si>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</si>
  <si>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</si>
  <si>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</si>
  <si>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</si>
  <si>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</si>
  <si>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</si>
  <si>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</si>
  <si>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</si>
  <si>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</si>
  <si>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</si>
  <si>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</si>
  <si>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</si>
  <si>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</si>
  <si>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</si>
  <si>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</si>
  <si>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</si>
  <si>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</si>
  <si>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</si>
  <si>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</si>
  <si>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</si>
  <si>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</si>
  <si>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</si>
  <si>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</si>
  <si>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</si>
  <si>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</si>
  <si>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</si>
  <si>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</si>
  <si>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</si>
  <si>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</si>
  <si>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</si>
  <si>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</si>
  <si>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</si>
  <si>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</si>
  <si>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</si>
  <si>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</si>
  <si>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</si>
  <si>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</si>
  <si>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</si>
  <si>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</si>
  <si>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</si>
  <si>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</si>
  <si>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</si>
  <si>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</si>
  <si>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</si>
  <si>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</si>
  <si>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</si>
  <si>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</si>
  <si>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</si>
  <si>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</si>
  <si>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</si>
  <si>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</si>
  <si>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</si>
  <si>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</si>
  <si>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</si>
  <si>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</si>
  <si>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</si>
  <si>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</si>
  <si>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</si>
  <si>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</si>
  <si>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</si>
  <si>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</si>
  <si>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</si>
  <si>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</si>
  <si>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</si>
  <si>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</si>
  <si>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</si>
  <si>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</si>
  <si>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</si>
  <si>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</si>
  <si>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</si>
  <si>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</si>
  <si>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</si>
  <si>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</si>
  <si>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</si>
  <si>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</si>
  <si>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</si>
  <si>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</si>
  <si>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</si>
  <si>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</si>
  <si>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</si>
  <si>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</si>
  <si>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</si>
  <si>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</si>
  <si>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</si>
  <si>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</si>
  <si>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</si>
  <si>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</si>
  <si>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</si>
  <si>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</si>
  <si>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</si>
  <si>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</si>
  <si>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</si>
  <si>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</si>
  <si>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</si>
  <si>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</si>
  <si>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</si>
  <si>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</si>
  <si>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</si>
  <si>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</si>
  <si>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</si>
  <si>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</si>
  <si>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</si>
  <si>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</si>
  <si>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</si>
  <si>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</si>
  <si>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</si>
  <si>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</si>
  <si>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</si>
  <si>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</si>
  <si>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</si>
  <si>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</si>
  <si>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</si>
  <si>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</si>
  <si>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</si>
  <si>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</si>
  <si>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</si>
  <si>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</si>
  <si>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</si>
  <si>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</si>
  <si>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</si>
  <si>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</si>
  <si>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</si>
  <si>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</si>
  <si>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</si>
  <si>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</si>
  <si>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</si>
  <si>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</si>
  <si>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</si>
  <si>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</si>
  <si>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</si>
  <si>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</si>
  <si>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</si>
  <si>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</si>
  <si>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</si>
  <si>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</si>
  <si>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</si>
  <si>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</si>
  <si>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</si>
  <si>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</si>
  <si>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</si>
  <si>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</si>
  <si>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</si>
  <si>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</si>
  <si>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</si>
  <si>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</si>
  <si>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</si>
  <si>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</si>
  <si>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</si>
  <si>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</si>
  <si>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</si>
  <si>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</si>
  <si>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</si>
  <si>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</si>
  <si>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</si>
  <si>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</si>
  <si>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</si>
  <si>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</si>
  <si>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</si>
  <si>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</si>
  <si>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</si>
  <si>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</si>
  <si>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</si>
  <si>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</si>
  <si>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</si>
  <si>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</si>
  <si>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</si>
  <si>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</si>
  <si>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</si>
  <si>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</si>
  <si>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</si>
  <si>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</si>
  <si>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</si>
  <si>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</si>
  <si>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</si>
  <si>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</si>
  <si>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</si>
  <si>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</si>
  <si>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</si>
  <si>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</si>
  <si>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</si>
  <si>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</si>
  <si>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</si>
  <si>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</si>
  <si>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</si>
  <si>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</si>
  <si>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</si>
  <si>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</si>
  <si>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</si>
  <si>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</si>
  <si>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</si>
  <si>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</si>
  <si>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</si>
  <si>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</si>
  <si>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</si>
  <si>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</si>
  <si>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</si>
  <si>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</si>
  <si>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</si>
  <si>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</si>
  <si>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</si>
  <si>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</si>
  <si>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</si>
  <si>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</si>
  <si>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</si>
  <si>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</si>
  <si>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</si>
  <si>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</si>
  <si>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</si>
  <si>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</si>
  <si>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</si>
  <si>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</si>
  <si>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</si>
  <si>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</si>
  <si>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</si>
  <si>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</si>
  <si>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</si>
  <si>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</si>
  <si>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</si>
  <si>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</si>
  <si>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</si>
  <si>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</si>
  <si>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</si>
  <si>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</si>
  <si>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</si>
  <si>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</si>
  <si>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</si>
  <si>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</si>
  <si>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</si>
  <si>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</si>
  <si>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</si>
  <si>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</si>
  <si>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</si>
  <si>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</si>
  <si>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</si>
  <si>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</si>
  <si>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</si>
  <si>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</si>
  <si>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</si>
  <si>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</si>
  <si>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</si>
  <si>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</si>
  <si>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</si>
  <si>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</si>
  <si>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</si>
  <si>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</si>
  <si>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</si>
  <si>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</si>
  <si>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</si>
  <si>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</si>
  <si>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</si>
  <si>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</si>
  <si>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</si>
  <si>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</si>
  <si>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</si>
  <si>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</si>
  <si>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</si>
  <si>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</si>
  <si>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</si>
  <si>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</si>
  <si>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</si>
  <si>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</si>
  <si>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</si>
  <si>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</si>
  <si>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</si>
  <si>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</si>
  <si>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</si>
  <si>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</si>
  <si>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</si>
  <si>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</si>
  <si>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</si>
  <si>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</si>
  <si>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</si>
  <si>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</si>
  <si>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</si>
  <si>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</si>
  <si>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</si>
  <si>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</si>
  <si>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</si>
  <si>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</si>
  <si>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</si>
  <si>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</si>
  <si>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</si>
  <si>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</si>
  <si>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</si>
  <si>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</si>
  <si>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</si>
  <si>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</si>
  <si>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</si>
  <si>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</si>
  <si>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</si>
  <si>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</si>
  <si>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</si>
  <si>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</si>
  <si>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</si>
  <si>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</si>
  <si>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</si>
  <si>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</si>
  <si>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</si>
  <si>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</si>
  <si>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</si>
  <si>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</si>
  <si>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</si>
  <si>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</si>
  <si>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</si>
  <si>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</si>
  <si>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</si>
  <si>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</si>
  <si>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</si>
  <si>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</si>
  <si>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</si>
  <si>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</si>
  <si>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</si>
  <si>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</si>
  <si>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</si>
  <si>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</si>
  <si>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</si>
  <si>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</si>
  <si>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</si>
  <si>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</si>
  <si>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</si>
  <si>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</si>
  <si>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</si>
  <si>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</si>
  <si>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</si>
  <si>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</si>
  <si>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</si>
  <si>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</si>
  <si>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</si>
  <si>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</si>
  <si>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</si>
  <si>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</si>
  <si>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</si>
  <si>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</si>
  <si>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</si>
  <si>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</si>
  <si>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</si>
  <si>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</si>
  <si>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</si>
  <si>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</si>
  <si>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</si>
  <si>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</si>
  <si>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</si>
  <si>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</si>
  <si>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</si>
  <si>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</si>
  <si>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</si>
  <si>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</si>
  <si>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</si>
  <si>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</si>
  <si>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</si>
  <si>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</si>
  <si>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</si>
  <si>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</si>
  <si>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</si>
  <si>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</si>
  <si>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</si>
  <si>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</si>
  <si>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</si>
  <si>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</si>
  <si>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</si>
  <si>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</si>
  <si>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</si>
  <si>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</si>
  <si>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</si>
  <si>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</si>
  <si>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</si>
  <si>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</si>
  <si>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</si>
  <si>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</si>
  <si>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</si>
  <si>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</si>
  <si>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</si>
  <si>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</si>
  <si>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</si>
  <si>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</si>
  <si>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</si>
  <si>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</si>
  <si>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</si>
  <si>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</si>
  <si>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</si>
  <si>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</si>
  <si>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</si>
  <si>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</si>
  <si>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</si>
  <si>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</si>
  <si>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</si>
  <si>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</si>
  <si>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</si>
  <si>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</si>
  <si>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</si>
  <si>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</si>
  <si>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</si>
  <si>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</si>
  <si>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</si>
  <si>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</si>
  <si>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</si>
  <si>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</si>
  <si>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</si>
  <si>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</si>
  <si>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</si>
  <si>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</si>
  <si>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</si>
  <si>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</si>
  <si>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</si>
  <si>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</si>
  <si>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</si>
  <si>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</si>
  <si>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</si>
  <si>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</si>
  <si>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</si>
  <si>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</si>
  <si>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</si>
  <si>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</si>
  <si>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</si>
  <si>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</si>
  <si>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</si>
  <si>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</si>
  <si>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</si>
  <si>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</si>
  <si>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</si>
  <si>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</si>
  <si>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</si>
  <si>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</si>
  <si>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</si>
  <si>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</si>
  <si>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</si>
  <si>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</si>
  <si>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</si>
  <si>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</si>
  <si>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</si>
  <si>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</si>
  <si>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</si>
  <si>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</si>
  <si>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</si>
  <si>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</si>
  <si>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</si>
  <si>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</si>
  <si>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</si>
  <si>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</si>
  <si>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</si>
  <si>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</si>
  <si>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</si>
  <si>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</si>
  <si>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</si>
  <si>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</si>
  <si>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</si>
  <si>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</si>
  <si>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</si>
  <si>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</si>
  <si>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</si>
  <si>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</si>
  <si>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</si>
  <si>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</si>
  <si>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</si>
  <si>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</si>
  <si>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</si>
  <si>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</si>
  <si>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</si>
  <si>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</si>
  <si>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</si>
  <si>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</si>
  <si>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</si>
  <si>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</si>
  <si>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</si>
  <si>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</si>
  <si>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</si>
  <si>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</si>
  <si>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</si>
  <si>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</si>
  <si>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</si>
  <si>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</si>
  <si>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</si>
  <si>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</si>
  <si>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</si>
  <si>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</si>
  <si>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</si>
  <si>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</si>
  <si>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</si>
  <si>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</si>
  <si>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</si>
  <si>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</si>
  <si>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</si>
  <si>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</si>
  <si>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</si>
  <si>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</si>
  <si>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</si>
  <si>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</si>
  <si>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</si>
  <si>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</si>
  <si>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</si>
  <si>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</si>
  <si>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</si>
  <si>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</si>
  <si>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</si>
  <si>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</si>
  <si>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</si>
  <si>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</si>
  <si>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</si>
  <si>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</si>
  <si>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</si>
  <si>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</si>
  <si>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</si>
  <si>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</si>
  <si>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</si>
  <si>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</si>
  <si>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</si>
  <si>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</si>
  <si>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</si>
  <si>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</si>
  <si>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</si>
  <si>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</si>
  <si>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</si>
  <si>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</si>
  <si>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</si>
  <si>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</si>
  <si>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</si>
  <si>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</si>
  <si>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</si>
  <si>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</si>
  <si>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</si>
  <si>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</si>
  <si>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</si>
  <si>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</si>
  <si>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</si>
  <si>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</si>
  <si>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</si>
  <si>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</si>
  <si>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</si>
  <si>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</si>
  <si>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</si>
  <si>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</si>
  <si>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</si>
  <si>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</si>
  <si>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</si>
  <si>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</si>
  <si>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</si>
  <si>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</si>
  <si>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</si>
  <si>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</si>
  <si>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</si>
  <si>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</si>
  <si>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</si>
  <si>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</si>
  <si>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</si>
  <si>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</si>
  <si>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</si>
  <si>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</si>
  <si>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</si>
  <si>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</si>
  <si>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</si>
  <si>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</si>
  <si>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</si>
  <si>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</si>
  <si>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</si>
  <si>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</si>
  <si>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</si>
  <si>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</si>
  <si>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</si>
  <si>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</si>
  <si>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</si>
  <si>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</si>
  <si>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</si>
  <si>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</si>
  <si>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</si>
  <si>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</si>
  <si>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</si>
  <si>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</si>
  <si>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</si>
  <si>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</si>
  <si>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</si>
  <si>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</si>
  <si>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</si>
  <si>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</si>
  <si>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</si>
  <si>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</si>
  <si>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</si>
  <si>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</si>
  <si>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</si>
  <si>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</si>
  <si>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</si>
  <si>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</si>
  <si>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</si>
  <si>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</si>
  <si>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</si>
  <si>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</si>
  <si>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</si>
  <si>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</si>
  <si>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</si>
  <si>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</si>
  <si>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</si>
  <si>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</si>
  <si>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</si>
  <si>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</si>
  <si>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</si>
  <si>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</si>
  <si>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</si>
  <si>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</si>
  <si>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</si>
  <si>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</si>
  <si>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</si>
  <si>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</si>
  <si>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</si>
  <si>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</si>
  <si>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</si>
  <si>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</si>
  <si>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</si>
  <si>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</si>
  <si>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</si>
  <si>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</si>
  <si>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</si>
  <si>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</si>
  <si>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</si>
  <si>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</si>
  <si>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</si>
  <si>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</si>
  <si>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</si>
  <si>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</si>
  <si>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</si>
  <si>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</si>
  <si>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</si>
  <si>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</si>
  <si>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</si>
  <si>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</si>
  <si>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</si>
  <si>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</si>
  <si>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</si>
  <si>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</si>
  <si>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</si>
  <si>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</si>
  <si>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</si>
  <si>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</si>
  <si>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</si>
  <si>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</si>
  <si>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</si>
  <si>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</si>
  <si>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</si>
  <si>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</si>
  <si>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</si>
  <si>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</si>
  <si>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</si>
  <si>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</si>
  <si>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</si>
  <si>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</si>
  <si>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</si>
  <si>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</si>
  <si>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</si>
  <si>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</si>
  <si>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</si>
  <si>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</si>
  <si>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</si>
  <si>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</si>
  <si>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</si>
  <si>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</si>
  <si>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</si>
  <si>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</si>
  <si>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</si>
  <si>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</si>
  <si>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</si>
  <si>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</si>
  <si>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</si>
  <si>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</si>
  <si>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</si>
  <si>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</si>
  <si>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</si>
  <si>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</si>
  <si>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</si>
  <si>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</si>
  <si>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</si>
  <si>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</si>
  <si>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</si>
  <si>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</si>
  <si>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</si>
  <si>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</si>
  <si>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</si>
  <si>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</si>
  <si>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</si>
  <si>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</si>
  <si>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</si>
  <si>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</si>
  <si>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</si>
  <si>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</si>
  <si>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</si>
  <si>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</si>
  <si>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</si>
  <si>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</si>
  <si>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</si>
  <si>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</si>
  <si>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</si>
  <si>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</si>
  <si>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</si>
  <si>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</si>
  <si>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</si>
  <si>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</si>
  <si>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</si>
  <si>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</si>
  <si>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</si>
  <si>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</si>
  <si>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</si>
  <si>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</si>
  <si>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</si>
  <si>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</si>
  <si>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</si>
  <si>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</si>
  <si>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</si>
  <si>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</si>
  <si>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</si>
  <si>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</si>
  <si>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</si>
  <si>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</si>
  <si>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</si>
  <si>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</si>
  <si>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</si>
  <si>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</si>
  <si>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</si>
  <si>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</si>
  <si>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</si>
  <si>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</si>
  <si>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</si>
  <si>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</si>
  <si>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</si>
  <si>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</si>
  <si>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</si>
  <si>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</si>
  <si>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</si>
  <si>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</si>
  <si>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</si>
  <si>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</si>
  <si>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</si>
  <si>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</si>
  <si>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</si>
  <si>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</si>
  <si>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</si>
  <si>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</si>
  <si>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</si>
  <si>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</si>
  <si>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</si>
  <si>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</si>
  <si>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</si>
  <si>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</si>
  <si>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</si>
  <si>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</si>
  <si>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</si>
  <si>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</si>
  <si>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</si>
  <si>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</si>
  <si>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</si>
  <si>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</si>
  <si>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</si>
  <si>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</si>
  <si>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</si>
  <si>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</si>
  <si>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</si>
  <si>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</si>
  <si>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</si>
  <si>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</si>
  <si>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</si>
  <si>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</si>
  <si>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</si>
  <si>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</si>
  <si>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</si>
  <si>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</si>
  <si>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</si>
  <si>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</si>
  <si>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</si>
  <si>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</si>
  <si>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</si>
  <si>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</si>
  <si>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</si>
  <si>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</si>
  <si>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</si>
  <si>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</si>
  <si>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</si>
  <si>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</si>
  <si>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</si>
  <si>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</si>
  <si>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</si>
  <si>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</si>
  <si>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</si>
  <si>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</si>
  <si>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</si>
  <si>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</si>
  <si>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</si>
  <si>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</si>
  <si>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</si>
  <si>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</si>
  <si>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</si>
  <si>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</si>
  <si>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</si>
  <si>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</si>
  <si>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</si>
  <si>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</si>
  <si>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</si>
  <si>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</si>
  <si>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</si>
  <si>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</si>
  <si>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</si>
  <si>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</si>
  <si>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</si>
  <si>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</si>
  <si>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</si>
  <si>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</si>
  <si>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</si>
  <si>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</si>
  <si>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</si>
  <si>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</si>
  <si>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</si>
  <si>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</si>
  <si>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</si>
  <si>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</si>
  <si>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</si>
  <si>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</si>
  <si>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</si>
  <si>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</si>
  <si>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</si>
  <si>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</si>
  <si>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</si>
  <si>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</si>
  <si>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</si>
  <si>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</si>
  <si>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</si>
  <si>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</si>
  <si>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</si>
  <si>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</si>
  <si>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</si>
  <si>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</si>
  <si>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</si>
  <si>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</si>
  <si>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</si>
  <si>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</si>
  <si>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</si>
  <si>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</si>
  <si>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</si>
  <si>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</si>
  <si>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</si>
  <si>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</si>
  <si>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</si>
  <si>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</si>
  <si>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</si>
  <si>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</si>
  <si>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</si>
  <si>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</si>
  <si>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</si>
  <si>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</si>
  <si>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</si>
  <si>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</si>
  <si>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</si>
  <si>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</si>
  <si>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</si>
  <si>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</si>
  <si>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</si>
  <si>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</si>
  <si>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</si>
  <si>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</si>
  <si>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</si>
  <si>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</si>
  <si>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</si>
  <si>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</si>
  <si>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</si>
  <si>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</si>
  <si>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</si>
  <si>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</si>
  <si>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</si>
  <si>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</si>
  <si>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</si>
  <si>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</si>
  <si>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</si>
  <si>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</si>
  <si>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</si>
  <si>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</si>
  <si>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</si>
  <si>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</si>
  <si>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</si>
  <si>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</si>
  <si>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</si>
  <si>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</si>
  <si>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</si>
  <si>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</si>
  <si>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</si>
  <si>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</si>
  <si>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</si>
  <si>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</si>
  <si>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</si>
  <si>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</si>
  <si>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</si>
  <si>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</si>
  <si>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</si>
  <si>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</si>
  <si>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</si>
  <si>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</si>
  <si>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</si>
  <si>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</si>
  <si>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</si>
  <si>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</si>
  <si>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</si>
  <si>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</si>
  <si>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</si>
  <si>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</si>
  <si>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</si>
  <si>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</si>
  <si>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</si>
  <si>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</si>
  <si>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</si>
  <si>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</si>
  <si>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</si>
  <si>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</si>
  <si>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</si>
  <si>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</si>
  <si>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</si>
  <si>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</si>
  <si>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</si>
  <si>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</si>
  <si>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</si>
  <si>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</si>
  <si>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</si>
  <si>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</si>
  <si>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</si>
  <si>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</si>
  <si>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</si>
  <si>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</si>
  <si>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</si>
  <si>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</si>
  <si>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</si>
  <si>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</si>
  <si>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</si>
  <si>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</si>
  <si>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</si>
  <si>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</si>
  <si>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</si>
  <si>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</si>
  <si>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</si>
  <si>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</si>
  <si>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</si>
  <si>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</si>
  <si>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</si>
  <si>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</si>
  <si>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</si>
  <si>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</si>
  <si>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</si>
  <si>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</si>
  <si>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</si>
  <si>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</si>
  <si>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</si>
  <si>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</si>
  <si>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</si>
  <si>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</si>
  <si>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</si>
  <si>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</si>
  <si>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</si>
  <si>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</si>
  <si>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</si>
  <si>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</si>
  <si>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</si>
  <si>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</si>
  <si>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</si>
  <si>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</si>
  <si>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</si>
  <si>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</si>
  <si>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</si>
  <si>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</si>
  <si>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</si>
  <si>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</si>
  <si>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</si>
  <si>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</si>
  <si>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</si>
  <si>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</si>
  <si>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</si>
  <si>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</si>
  <si>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</si>
  <si>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</si>
  <si>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</si>
  <si>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</si>
  <si>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</si>
  <si>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</si>
  <si>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</si>
  <si>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</si>
  <si>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</si>
  <si>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</si>
  <si>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</si>
  <si>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</si>
  <si>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</si>
  <si>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</si>
  <si>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</si>
  <si>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</si>
  <si>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</si>
  <si>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</si>
  <si>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</si>
  <si>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</si>
  <si>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</si>
  <si>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</si>
  <si>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</si>
  <si>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</si>
  <si>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</si>
  <si>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</si>
  <si>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</si>
  <si>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</si>
  <si>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</si>
  <si>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</si>
  <si>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</si>
  <si>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</si>
  <si>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</si>
  <si>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</si>
  <si>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</si>
  <si>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</si>
  <si>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</si>
  <si>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</si>
  <si>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</si>
  <si>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</si>
  <si>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</si>
  <si>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</si>
  <si>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</si>
  <si>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</si>
  <si>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</si>
  <si>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</si>
  <si>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</si>
  <si>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</si>
  <si>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</si>
  <si>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</si>
  <si>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</si>
  <si>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</si>
  <si>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</si>
  <si>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</si>
  <si>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</si>
  <si>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</si>
  <si>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</si>
  <si>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</si>
  <si>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</si>
  <si>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</si>
  <si>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</si>
  <si>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</si>
  <si>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</si>
  <si>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</si>
  <si>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</si>
  <si>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</si>
  <si>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</si>
  <si>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</si>
  <si>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</si>
  <si>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</si>
  <si>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</si>
  <si>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</si>
  <si>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</si>
  <si>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</si>
  <si>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</si>
  <si>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</si>
  <si>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</si>
  <si>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</si>
  <si>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</si>
  <si>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</si>
  <si>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</si>
  <si>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</si>
  <si>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</si>
  <si>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</si>
  <si>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</si>
  <si>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</si>
  <si>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</si>
  <si>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</si>
  <si>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</si>
  <si>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</si>
  <si>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</si>
  <si>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</si>
  <si>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</si>
  <si>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</si>
  <si>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</si>
  <si>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</si>
  <si>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</si>
  <si>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</si>
  <si>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</si>
  <si>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</si>
  <si>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</si>
  <si>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</si>
  <si>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</si>
  <si>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</si>
  <si>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</si>
  <si>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</si>
  <si>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</si>
  <si>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</si>
  <si>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</si>
  <si>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</si>
  <si>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</si>
  <si>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</si>
  <si>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</si>
  <si>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</si>
  <si>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</si>
  <si>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</si>
  <si>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</si>
  <si>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</si>
  <si>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</si>
  <si>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</si>
  <si>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</si>
  <si>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</si>
  <si>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</si>
  <si>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</si>
  <si>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</si>
  <si>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</si>
  <si>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</si>
  <si>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</si>
  <si>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</si>
  <si>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</si>
  <si>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</si>
  <si>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</si>
  <si>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</si>
  <si>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</si>
  <si>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</si>
  <si>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</si>
  <si>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</si>
  <si>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</si>
  <si>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</si>
  <si>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</si>
  <si>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</si>
  <si>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</si>
  <si>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</si>
  <si>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</si>
  <si>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</si>
  <si>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</si>
  <si>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</si>
  <si>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</si>
  <si>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</si>
  <si>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</si>
  <si>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</si>
  <si>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</si>
  <si>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</si>
  <si>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</si>
  <si>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</si>
  <si>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</si>
  <si>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</si>
  <si>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</si>
  <si>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</si>
  <si>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</si>
  <si>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</si>
  <si>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</si>
  <si>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</si>
  <si>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</si>
  <si>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</si>
  <si>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</si>
  <si>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</si>
  <si>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</si>
  <si>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</si>
  <si>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</si>
  <si>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</si>
  <si>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</si>
  <si>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</si>
  <si>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</si>
  <si>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</si>
  <si>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</si>
  <si>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</si>
  <si>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</si>
  <si>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</si>
  <si>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</si>
  <si>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</si>
  <si>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</si>
  <si>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</si>
  <si>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</si>
  <si>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</si>
  <si>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</si>
  <si>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</si>
  <si>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</si>
  <si>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</si>
  <si>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</si>
  <si>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</si>
  <si>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</si>
  <si>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</si>
  <si>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</si>
  <si>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</si>
  <si>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</si>
  <si>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</si>
  <si>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</si>
  <si>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</si>
  <si>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</si>
  <si>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</si>
  <si>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</si>
  <si>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</si>
  <si>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</si>
  <si>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</si>
  <si>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</si>
  <si>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</si>
  <si>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</si>
  <si>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</si>
  <si>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</si>
  <si>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</si>
  <si>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</si>
  <si>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</si>
  <si>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</si>
  <si>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</si>
  <si>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</si>
  <si>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</si>
  <si>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</si>
  <si>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</si>
  <si>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</si>
  <si>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</si>
  <si>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</si>
  <si>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</si>
  <si>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</si>
  <si>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</si>
  <si>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</si>
  <si>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</si>
  <si>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</si>
  <si>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</si>
  <si>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</si>
  <si>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</si>
  <si>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</si>
  <si>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</si>
  <si>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</si>
  <si>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</si>
  <si>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</si>
  <si>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</si>
  <si>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</si>
  <si>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</si>
  <si>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</si>
  <si>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</si>
  <si>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</si>
  <si>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</si>
  <si>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</si>
  <si>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</si>
  <si>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</si>
  <si>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</si>
  <si>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</si>
  <si>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</si>
  <si>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</si>
  <si>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</si>
  <si>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</si>
  <si>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</si>
  <si>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</si>
  <si>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</si>
  <si>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</si>
  <si>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</si>
  <si>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</si>
  <si>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</si>
  <si>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</si>
  <si>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</si>
  <si>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</si>
  <si>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</si>
  <si>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</si>
  <si>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</si>
  <si>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</si>
  <si>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</si>
  <si>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</si>
  <si>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</si>
  <si>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</si>
  <si>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</si>
  <si>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</si>
  <si>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</si>
  <si>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</si>
  <si>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</si>
  <si>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</si>
  <si>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</si>
  <si>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</si>
  <si>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</si>
  <si>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</si>
  <si>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</si>
  <si>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</si>
  <si>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</si>
  <si>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</si>
  <si>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</si>
  <si>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</si>
  <si>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</si>
  <si>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</si>
  <si>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</si>
  <si>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</si>
  <si>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</si>
  <si>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</si>
  <si>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</si>
  <si>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</si>
  <si>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</si>
  <si>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</si>
  <si>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</si>
  <si>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</si>
  <si>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</si>
  <si>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</si>
  <si>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</si>
  <si>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</si>
  <si>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</si>
  <si>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</si>
  <si>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</si>
  <si>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</si>
  <si>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</si>
  <si>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</si>
  <si>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</si>
  <si>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</si>
  <si>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</si>
  <si>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</si>
  <si>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</si>
  <si>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</si>
  <si>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</si>
  <si>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</si>
  <si>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</si>
  <si>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</si>
  <si>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</si>
  <si>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</si>
  <si>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</si>
  <si>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</si>
  <si>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</si>
  <si>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</si>
  <si>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</si>
  <si>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</si>
  <si>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</si>
  <si>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</si>
  <si>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</si>
  <si>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</si>
  <si>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</si>
  <si>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</si>
  <si>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</si>
  <si>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</si>
  <si>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</si>
  <si>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</si>
  <si>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</si>
  <si>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</si>
  <si>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</si>
  <si>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</si>
  <si>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</si>
  <si>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</si>
  <si>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</si>
  <si>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</si>
  <si>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</si>
  <si>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</si>
  <si>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</si>
  <si>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</si>
  <si>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</si>
  <si>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</si>
  <si>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</si>
  <si>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</si>
  <si>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</si>
  <si>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</si>
  <si>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</si>
  <si>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</si>
  <si>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</si>
  <si>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</si>
  <si>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</si>
  <si>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</si>
  <si>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</si>
  <si>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</si>
  <si>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</si>
  <si>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</si>
  <si>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</si>
  <si>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</si>
  <si>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</si>
  <si>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</si>
  <si>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</si>
  <si>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</si>
  <si>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</si>
  <si>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</si>
  <si>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</si>
  <si>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</si>
  <si>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</si>
  <si>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</si>
  <si>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</si>
  <si>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</si>
  <si>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</si>
  <si>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</si>
  <si>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</si>
  <si>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</si>
  <si>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</si>
  <si>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</si>
  <si>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</si>
  <si>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</si>
  <si>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</si>
  <si>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</si>
  <si>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</si>
  <si>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</si>
  <si>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</si>
  <si>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</si>
  <si>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</si>
  <si>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</si>
  <si>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</si>
  <si>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</si>
  <si>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</si>
  <si>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</si>
  <si>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</si>
  <si>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</si>
  <si>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</si>
  <si>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</si>
  <si>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</si>
  <si>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</si>
  <si>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</si>
  <si>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</si>
  <si>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</si>
  <si>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</si>
  <si>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</si>
  <si>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</si>
  <si>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</si>
  <si>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</si>
  <si>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</si>
  <si>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</si>
  <si>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</si>
  <si>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</si>
  <si>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</si>
  <si>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</si>
  <si>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</si>
  <si>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</si>
  <si>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</si>
  <si>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</si>
  <si>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</si>
  <si>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</si>
  <si>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</si>
  <si>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</si>
  <si>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</si>
  <si>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</si>
  <si>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</si>
  <si>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</si>
  <si>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</si>
  <si>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</si>
  <si>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</si>
  <si>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</si>
  <si>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</si>
  <si>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</si>
  <si>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</si>
  <si>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</si>
  <si>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</si>
  <si>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</si>
  <si>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</si>
  <si>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</si>
  <si>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</si>
  <si>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</si>
  <si>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</si>
  <si>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</si>
  <si>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</si>
  <si>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</si>
  <si>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</si>
  <si>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</si>
  <si>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</si>
  <si>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</si>
  <si>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</si>
  <si>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</si>
  <si>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</si>
  <si>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</si>
  <si>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</si>
  <si>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</si>
  <si>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</si>
  <si>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</si>
  <si>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</si>
  <si>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</si>
  <si>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</si>
  <si>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</si>
  <si>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</si>
  <si>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</si>
  <si>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</si>
  <si>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</si>
  <si>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</si>
  <si>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</si>
  <si>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</si>
  <si>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</si>
  <si>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</si>
  <si>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</si>
  <si>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</si>
  <si>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</si>
  <si>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</si>
  <si>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</si>
  <si>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</si>
  <si>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</si>
  <si>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</si>
  <si>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</si>
  <si>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</si>
  <si>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</si>
  <si>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</si>
  <si>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</si>
  <si>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</si>
  <si>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</si>
  <si>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</si>
  <si>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</si>
  <si>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</si>
  <si>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</si>
  <si>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</si>
  <si>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</si>
  <si>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</si>
  <si>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</si>
  <si>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</si>
  <si>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</si>
  <si>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</si>
  <si>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</si>
  <si>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</si>
  <si>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</si>
  <si>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</si>
  <si>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</si>
  <si>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</si>
  <si>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</si>
  <si>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</si>
  <si>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</si>
  <si>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</si>
  <si>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</si>
  <si>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</si>
  <si>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</si>
  <si>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</si>
  <si>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</si>
  <si>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</si>
  <si>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</si>
  <si>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</si>
  <si>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</si>
  <si>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</si>
  <si>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</si>
  <si>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</si>
  <si>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</si>
  <si>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</si>
  <si>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</si>
  <si>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</si>
  <si>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</si>
  <si>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</si>
  <si>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</si>
  <si>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</si>
  <si>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</si>
  <si>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</si>
  <si>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</si>
  <si>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</si>
  <si>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</si>
  <si>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</si>
  <si>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</si>
  <si>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</si>
  <si>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</si>
  <si>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</si>
  <si>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</si>
  <si>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</si>
  <si>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</si>
  <si>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</si>
  <si>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</si>
  <si>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</si>
  <si>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</si>
  <si>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</si>
  <si>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</si>
  <si>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</si>
  <si>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</si>
  <si>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</si>
  <si>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</si>
  <si>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</si>
  <si>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</si>
  <si>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</si>
  <si>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</si>
  <si>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</si>
  <si>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</si>
  <si>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</si>
  <si>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</si>
  <si>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</si>
  <si>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</si>
  <si>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</si>
  <si>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</si>
  <si>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</si>
  <si>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</si>
  <si>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</si>
  <si>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</si>
  <si>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</si>
  <si>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</si>
  <si>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</si>
  <si>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</si>
  <si>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</si>
  <si>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</si>
  <si>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</si>
  <si>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</si>
  <si>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</si>
  <si>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</si>
  <si>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</si>
  <si>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</si>
  <si>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</si>
  <si>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</si>
  <si>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</si>
  <si>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</si>
  <si>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</si>
  <si>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</si>
  <si>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</si>
  <si>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</si>
  <si>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</si>
  <si>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</si>
  <si>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</si>
  <si>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</si>
  <si>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</si>
  <si>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</si>
  <si>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</si>
  <si>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</si>
  <si>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</si>
  <si>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</si>
  <si>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</si>
  <si>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</si>
  <si>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</si>
  <si>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</si>
  <si>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</si>
  <si>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</si>
  <si>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</si>
  <si>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</si>
  <si>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</si>
  <si>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</si>
  <si>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</si>
  <si>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</si>
  <si>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</si>
  <si>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</si>
  <si>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</si>
  <si>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</si>
  <si>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</si>
  <si>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</si>
  <si>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</si>
  <si>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</si>
  <si>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</si>
  <si>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</si>
  <si>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</si>
  <si>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</si>
  <si>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</si>
  <si>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</si>
  <si>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</si>
  <si>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</si>
  <si>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</si>
  <si>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</si>
  <si>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</si>
  <si>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</si>
  <si>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</si>
  <si>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</si>
  <si>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</si>
  <si>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</si>
  <si>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</si>
  <si>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</si>
  <si>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</si>
  <si>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</si>
  <si>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</si>
  <si>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</si>
  <si>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</si>
  <si>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</si>
  <si>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</si>
  <si>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</si>
  <si>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</si>
  <si>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</si>
  <si>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</si>
  <si>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</si>
  <si>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</si>
  <si>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</si>
  <si>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</si>
  <si>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</si>
  <si>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</si>
  <si>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</si>
  <si>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</si>
  <si>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</si>
  <si>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</si>
  <si>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</si>
  <si>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</si>
  <si>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</si>
  <si>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</si>
  <si>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</si>
  <si>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</si>
  <si>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</si>
  <si>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</si>
  <si>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</si>
  <si>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</si>
  <si>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</si>
  <si>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</si>
  <si>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</si>
  <si>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</si>
  <si>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</si>
  <si>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</si>
  <si>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</si>
  <si>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</si>
  <si>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</si>
  <si>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</si>
  <si>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</si>
  <si>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</si>
  <si>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</si>
  <si>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</si>
  <si>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</si>
  <si>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</si>
  <si>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</si>
  <si>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</si>
  <si>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</si>
  <si>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</si>
  <si>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</si>
  <si>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</si>
  <si>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</si>
  <si>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</si>
  <si>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</si>
  <si>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</si>
  <si>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</si>
  <si>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</si>
  <si>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</si>
  <si>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</si>
  <si>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</si>
  <si>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</si>
  <si>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</si>
  <si>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</si>
  <si>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</si>
  <si>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</si>
  <si>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</si>
  <si>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</si>
  <si>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</si>
  <si>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</si>
  <si>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</si>
  <si>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</si>
  <si>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</si>
  <si>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</si>
  <si>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</si>
  <si>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</si>
  <si>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</si>
  <si>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</si>
  <si>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</si>
  <si>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</si>
  <si>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</si>
  <si>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</si>
  <si>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</si>
  <si>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</si>
  <si>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</si>
  <si>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</si>
  <si>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</si>
  <si>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</si>
  <si>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</si>
  <si>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</si>
  <si>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</si>
  <si>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</si>
  <si>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</si>
  <si>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</si>
  <si>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</si>
  <si>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</si>
  <si>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</si>
  <si>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</si>
  <si>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</si>
  <si>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</si>
  <si>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</si>
  <si>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</si>
  <si>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</si>
  <si>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</si>
  <si>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</si>
  <si>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</si>
  <si>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</si>
  <si>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</si>
  <si>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</si>
  <si>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</si>
  <si>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</si>
  <si>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</si>
  <si>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</si>
  <si>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</si>
  <si>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</si>
  <si>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</si>
  <si>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</si>
  <si>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</si>
  <si>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</si>
  <si>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</si>
  <si>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</si>
  <si>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</si>
  <si>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</si>
  <si>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</si>
  <si>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</si>
  <si>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</si>
  <si>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</si>
  <si>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</si>
  <si>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</si>
  <si>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</si>
  <si>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</si>
  <si>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</si>
  <si>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</si>
  <si>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</si>
  <si>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</si>
  <si>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</si>
  <si>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</si>
  <si>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</si>
  <si>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</si>
  <si>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</si>
  <si>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</si>
  <si>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</si>
  <si>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</si>
  <si>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</si>
  <si>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</si>
  <si>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</si>
  <si>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</si>
  <si>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</si>
  <si>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</si>
  <si>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</si>
  <si>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</si>
  <si>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</si>
  <si>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</si>
  <si>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</si>
  <si>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</si>
  <si>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</si>
  <si>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</si>
  <si>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</si>
  <si>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</si>
  <si>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</si>
  <si>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</si>
  <si>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</si>
  <si>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</si>
  <si>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</si>
  <si>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</si>
  <si>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</si>
  <si>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</si>
  <si>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</si>
  <si>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</si>
  <si>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</si>
  <si>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</si>
  <si>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</si>
  <si>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</si>
  <si>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</si>
  <si>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</si>
  <si>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</si>
  <si>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</si>
  <si>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</si>
  <si>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</si>
  <si>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</si>
  <si>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</si>
  <si>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</si>
  <si>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</si>
  <si>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</si>
  <si>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</si>
  <si>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</si>
  <si>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</si>
  <si>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</si>
  <si>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</si>
  <si>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</si>
  <si>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</si>
  <si>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</si>
  <si>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</si>
  <si>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</si>
  <si>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</si>
  <si>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</si>
  <si>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</si>
  <si>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</si>
  <si>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</si>
  <si>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</si>
  <si>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</si>
  <si>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</si>
  <si>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</si>
  <si>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</si>
  <si>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</si>
  <si>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</si>
  <si>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</si>
  <si>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</si>
  <si>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</si>
  <si>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</si>
  <si>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</si>
  <si>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</si>
  <si>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</si>
  <si>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</si>
  <si>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</si>
  <si>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</si>
  <si>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</si>
  <si>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</si>
  <si>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</si>
  <si>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</si>
  <si>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</si>
  <si>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</si>
  <si>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</si>
  <si>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</si>
  <si>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</si>
  <si>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</si>
  <si>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</si>
  <si>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</si>
  <si>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</si>
  <si>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</si>
  <si>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</si>
  <si>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</si>
  <si>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</si>
  <si>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</si>
  <si>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</si>
  <si>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</si>
  <si>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</si>
  <si>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</si>
  <si>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</si>
  <si>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</si>
  <si>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</si>
  <si>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</si>
  <si>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</si>
  <si>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</si>
  <si>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</si>
  <si>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</si>
  <si>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</si>
  <si>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</si>
  <si>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</si>
  <si>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</si>
  <si>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</si>
  <si>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</si>
  <si>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</si>
  <si>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</si>
  <si>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</si>
  <si>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</si>
  <si>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</si>
  <si>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</si>
  <si>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</si>
  <si>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</si>
  <si>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</si>
  <si>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</si>
  <si>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</si>
  <si>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</si>
  <si>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</si>
  <si>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</si>
  <si>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</si>
  <si>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</si>
  <si>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</si>
  <si>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</si>
  <si>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</si>
  <si>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</si>
  <si>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</si>
  <si>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</si>
  <si>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</si>
  <si>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</si>
  <si>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</si>
  <si>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</si>
  <si>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</si>
  <si>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</si>
  <si>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</si>
  <si>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</si>
  <si>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</si>
  <si>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</si>
  <si>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</si>
  <si>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</si>
  <si>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</si>
  <si>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</si>
  <si>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</si>
  <si>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</si>
  <si>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</si>
  <si>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</si>
  <si>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</si>
  <si>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</si>
  <si>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</si>
  <si>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</si>
  <si>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</si>
  <si>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</si>
  <si>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</si>
  <si>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</si>
  <si>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</si>
  <si>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</si>
  <si>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</si>
  <si>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</si>
  <si>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</si>
  <si>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</si>
  <si>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</si>
  <si>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</si>
  <si>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</si>
  <si>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</si>
  <si>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</si>
  <si>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</si>
  <si>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</si>
  <si>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</si>
  <si>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</si>
  <si>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</si>
  <si>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</si>
  <si>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</si>
  <si>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</si>
  <si>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</si>
  <si>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</si>
  <si>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</si>
  <si>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</si>
  <si>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</si>
  <si>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</si>
  <si>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</si>
  <si>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</si>
  <si>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</si>
  <si>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</si>
  <si>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</si>
  <si>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</si>
  <si>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</si>
  <si>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</si>
  <si>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</si>
  <si>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</si>
  <si>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</si>
  <si>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</si>
  <si>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</si>
  <si>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</si>
  <si>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</si>
  <si>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</si>
  <si>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</si>
  <si>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</si>
  <si>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</si>
  <si>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</si>
  <si>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</si>
  <si>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</si>
  <si>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</si>
  <si>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</si>
  <si>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</si>
  <si>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</si>
  <si>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</si>
  <si>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</si>
  <si>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</si>
  <si>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</si>
  <si>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</si>
  <si>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</si>
  <si>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</si>
  <si>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</si>
  <si>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</si>
  <si>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</si>
  <si>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</si>
  <si>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</si>
  <si>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</si>
  <si>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</si>
  <si>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</si>
  <si>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</si>
  <si>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</si>
  <si>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</si>
  <si>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</si>
  <si>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</si>
  <si>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</si>
  <si>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</si>
  <si>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</si>
  <si>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</si>
  <si>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</si>
  <si>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</si>
  <si>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</si>
  <si>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</si>
  <si>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</si>
  <si>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</si>
  <si>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</si>
  <si>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</si>
  <si>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</si>
  <si>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</si>
  <si>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</si>
  <si>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</si>
  <si>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</si>
  <si>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</si>
  <si>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</si>
  <si>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</si>
  <si>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</si>
  <si>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</si>
  <si>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</si>
  <si>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</si>
  <si>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</si>
  <si>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</si>
  <si>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</si>
  <si>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</si>
  <si>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</si>
  <si>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</si>
  <si>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</si>
  <si>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</si>
  <si>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</si>
  <si>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</si>
  <si>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</si>
  <si>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</si>
  <si>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</si>
  <si>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</si>
  <si>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</si>
  <si>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</si>
  <si>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</si>
  <si>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</si>
  <si>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</si>
  <si>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</si>
  <si>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</si>
  <si>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</si>
  <si>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</si>
  <si>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</si>
  <si>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</si>
  <si>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</si>
  <si>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</si>
  <si>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</si>
  <si>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</si>
  <si>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</si>
  <si>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</si>
  <si>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</si>
  <si>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</si>
  <si>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</si>
  <si>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</si>
  <si>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</si>
  <si>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</si>
  <si>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</si>
  <si>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</si>
  <si>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</si>
  <si>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</si>
  <si>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</si>
  <si>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</si>
  <si>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</si>
  <si>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</si>
  <si>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</si>
  <si>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</si>
  <si>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</si>
  <si>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</si>
  <si>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</si>
  <si>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</si>
  <si>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</si>
  <si>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</si>
  <si>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</si>
  <si>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</si>
  <si>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</si>
  <si>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</si>
  <si>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</si>
  <si>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</si>
  <si>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</si>
  <si>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</si>
  <si>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</si>
  <si>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</si>
  <si>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</si>
  <si>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</si>
  <si>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</si>
  <si>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</si>
  <si>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</si>
  <si>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</si>
  <si>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</si>
  <si>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</si>
  <si>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</si>
  <si>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</si>
  <si>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</si>
  <si>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</si>
  <si>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</si>
  <si>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</si>
  <si>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</si>
  <si>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</si>
  <si>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</si>
  <si>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</si>
  <si>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</si>
  <si>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</si>
  <si>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</si>
  <si>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</si>
  <si>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</si>
  <si>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</si>
  <si>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</si>
  <si>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</si>
  <si>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</si>
  <si>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</si>
  <si>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</si>
  <si>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</si>
  <si>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</si>
  <si>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</si>
  <si>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</si>
  <si>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</si>
  <si>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</si>
  <si>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</si>
  <si>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</si>
  <si>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</si>
  <si>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</si>
  <si>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</si>
  <si>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</si>
  <si>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</si>
  <si>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</si>
  <si>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</si>
  <si>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</si>
  <si>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</si>
  <si>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</si>
  <si>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</si>
  <si>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</si>
  <si>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</si>
  <si>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</si>
  <si>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</si>
  <si>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</si>
  <si>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</si>
  <si>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</si>
  <si>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</si>
  <si>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</si>
  <si>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</si>
  <si>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</si>
  <si>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</si>
  <si>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</si>
  <si>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</si>
  <si>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</si>
  <si>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</si>
  <si>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</si>
  <si>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</si>
  <si>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</si>
  <si>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</si>
  <si>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</si>
  <si>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</si>
  <si>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</si>
  <si>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</si>
  <si>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</si>
  <si>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</si>
  <si>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</si>
  <si>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</si>
  <si>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</si>
  <si>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</si>
  <si>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</si>
  <si>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</si>
  <si>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</si>
  <si>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</si>
  <si>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</si>
  <si>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</si>
  <si>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</si>
  <si>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</si>
  <si>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</si>
  <si>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</si>
  <si>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</si>
  <si>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</si>
  <si>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</si>
  <si>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</si>
  <si>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</si>
  <si>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</si>
  <si>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</si>
  <si>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</si>
  <si>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</si>
  <si>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</si>
  <si>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</si>
  <si>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</si>
  <si>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</si>
  <si>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</si>
  <si>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</si>
  <si>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</si>
  <si>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</si>
  <si>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</si>
  <si>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</si>
  <si>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</si>
  <si>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</si>
  <si>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</si>
  <si>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</si>
  <si>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</si>
  <si>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</si>
  <si>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</si>
  <si>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</si>
  <si>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</si>
  <si>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</si>
  <si>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</si>
  <si>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</si>
  <si>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</si>
  <si>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</si>
  <si>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</si>
  <si>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</si>
  <si>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</si>
  <si>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</si>
  <si>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</si>
  <si>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</si>
  <si>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</si>
  <si>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</si>
  <si>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</si>
  <si>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</si>
  <si>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</si>
  <si>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</si>
  <si>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</si>
  <si>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</si>
  <si>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</si>
  <si>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</si>
  <si>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</si>
  <si>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</si>
  <si>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</si>
  <si>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</si>
  <si>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</si>
  <si>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</si>
  <si>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</si>
  <si>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</si>
  <si>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</si>
  <si>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</si>
  <si>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</si>
  <si>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</si>
  <si>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</si>
  <si>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</si>
  <si>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</si>
  <si>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</si>
  <si>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</si>
  <si>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</si>
  <si>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</si>
  <si>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</si>
  <si>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</si>
  <si>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</si>
  <si>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</si>
  <si>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</si>
  <si>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</si>
  <si>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</si>
  <si>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</si>
  <si>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</si>
  <si>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</si>
  <si>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</si>
  <si>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</si>
  <si>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</si>
  <si>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</si>
  <si>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</si>
  <si>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</si>
  <si>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</si>
  <si>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</si>
  <si>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</si>
  <si>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</si>
  <si>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</si>
  <si>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</si>
  <si>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</si>
  <si>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</si>
  <si>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</si>
  <si>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</si>
  <si>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</si>
  <si>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</si>
  <si>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</si>
  <si>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</si>
  <si>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</si>
  <si>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</si>
  <si>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</si>
  <si>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</si>
  <si>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</si>
  <si>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</si>
  <si>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</si>
  <si>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</si>
  <si>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</si>
  <si>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</si>
  <si>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</si>
  <si>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</si>
  <si>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</si>
  <si>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</si>
  <si>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</si>
  <si>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</si>
  <si>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</si>
  <si>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</si>
  <si>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</si>
  <si>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</si>
  <si>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</si>
  <si>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</si>
  <si>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</si>
  <si>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</si>
  <si>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</si>
  <si>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</si>
  <si>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</si>
  <si>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</si>
  <si>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</si>
  <si>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</si>
  <si>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</si>
  <si>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</si>
  <si>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</si>
  <si>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</si>
  <si>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</si>
  <si>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</si>
  <si>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</si>
  <si>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</si>
  <si>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</si>
  <si>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</si>
  <si>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</si>
  <si>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</si>
  <si>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</si>
  <si>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</si>
  <si>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</si>
  <si>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</si>
  <si>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</si>
  <si>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</si>
  <si>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</si>
  <si>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</si>
  <si>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</si>
  <si>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</si>
  <si>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</si>
  <si>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</si>
  <si>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</si>
  <si>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</si>
  <si>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</si>
  <si>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</si>
  <si>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</si>
  <si>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</si>
  <si>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</si>
  <si>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</si>
  <si>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</si>
  <si>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</si>
  <si>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</si>
  <si>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</si>
  <si>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</si>
  <si>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</si>
  <si>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</si>
  <si>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</si>
  <si>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</si>
  <si>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</si>
  <si>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</si>
  <si>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</si>
  <si>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</si>
  <si>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</si>
  <si>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</si>
  <si>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</si>
  <si>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</si>
  <si>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</si>
  <si>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</si>
  <si>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</si>
  <si>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</si>
  <si>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</si>
  <si>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</si>
  <si>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</si>
  <si>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</si>
  <si>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</si>
  <si>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</si>
  <si>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</si>
  <si>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</si>
  <si>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</si>
  <si>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</si>
  <si>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</si>
  <si>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</si>
  <si>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</si>
  <si>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</si>
  <si>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</si>
  <si>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</si>
  <si>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</si>
  <si>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</si>
  <si>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</si>
  <si>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</si>
  <si>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</si>
  <si>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</si>
  <si>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</si>
  <si>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</si>
  <si>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</si>
  <si>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</si>
  <si>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</si>
  <si>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</si>
  <si>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</si>
  <si>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</si>
  <si>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</si>
  <si>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</si>
  <si>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</si>
  <si>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</si>
  <si>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</si>
  <si>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</si>
  <si>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</si>
  <si>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</si>
  <si>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</si>
  <si>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</si>
  <si>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</si>
  <si>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</si>
  <si>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</si>
  <si>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</si>
  <si>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</si>
  <si>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</si>
  <si>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</si>
  <si>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</si>
  <si>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</si>
  <si>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</si>
  <si>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</si>
  <si>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</si>
  <si>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</si>
  <si>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</si>
  <si>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</si>
  <si>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</si>
  <si>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</si>
  <si>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</si>
  <si>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</si>
  <si>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</si>
  <si>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</si>
  <si>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</si>
  <si>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</si>
  <si>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</si>
  <si>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</si>
  <si>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</si>
  <si>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</si>
  <si>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</si>
  <si>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</si>
  <si>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</si>
  <si>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</si>
  <si>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</si>
  <si>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</si>
  <si>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</si>
  <si>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</si>
  <si>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</si>
  <si>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</si>
  <si>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</si>
  <si>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</si>
  <si>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</si>
  <si>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</si>
  <si>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</si>
  <si>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</si>
  <si>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</si>
  <si>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</si>
  <si>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</si>
  <si>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</si>
  <si>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</si>
  <si>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</si>
  <si>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</si>
  <si>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</si>
  <si>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</si>
  <si>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</si>
  <si>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</si>
  <si>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</si>
  <si>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</si>
  <si>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</si>
  <si>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</si>
  <si>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</si>
  <si>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</si>
  <si>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</si>
  <si>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</si>
  <si>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</si>
  <si>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</si>
  <si>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</si>
  <si>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</si>
  <si>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</si>
  <si>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</si>
  <si>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</si>
  <si>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</si>
  <si>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</si>
  <si>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</si>
  <si>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</si>
  <si>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</si>
  <si>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</si>
  <si>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</si>
  <si>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</si>
  <si>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</si>
  <si>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</si>
  <si>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</si>
  <si>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</si>
  <si>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</si>
  <si>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</si>
  <si>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</si>
  <si>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</si>
  <si>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</si>
  <si>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</si>
  <si>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</si>
  <si>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</si>
  <si>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</si>
  <si>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</si>
  <si>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</si>
  <si>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</si>
  <si>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</si>
  <si>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</si>
  <si>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</si>
  <si>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</si>
  <si>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</si>
  <si>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</si>
  <si>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</si>
  <si>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</si>
  <si>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</si>
  <si>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</si>
  <si>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</si>
  <si>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</si>
  <si>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</si>
  <si>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</si>
  <si>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</si>
  <si>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</si>
  <si>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</si>
  <si>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</si>
  <si>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</si>
  <si>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</si>
  <si>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</si>
  <si>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</si>
  <si>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</si>
  <si>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</si>
  <si>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</si>
  <si>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</si>
  <si>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</si>
  <si>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</si>
  <si>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</si>
  <si>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</si>
  <si>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</si>
  <si>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</si>
  <si>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</si>
  <si>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</si>
  <si>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</si>
  <si>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</si>
  <si>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</si>
  <si>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</si>
  <si>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</si>
  <si>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</si>
  <si>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</si>
  <si>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</si>
  <si>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</si>
  <si>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</si>
  <si>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</si>
  <si>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</si>
  <si>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</si>
  <si>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</si>
  <si>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</si>
  <si>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</si>
  <si>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</si>
  <si>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</si>
  <si>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</si>
  <si>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</si>
  <si>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</si>
  <si>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</si>
  <si>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</si>
  <si>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</si>
  <si>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</si>
  <si>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</si>
  <si>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</si>
  <si>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</si>
  <si>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</si>
  <si>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</si>
  <si>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</si>
  <si>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</si>
  <si>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</si>
  <si>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</si>
  <si>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</si>
  <si>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</si>
  <si>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</si>
  <si>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</si>
  <si>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</si>
  <si>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</si>
  <si>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</si>
  <si>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</si>
  <si>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</si>
  <si>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</si>
  <si>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</si>
  <si>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</si>
  <si>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</si>
  <si>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</si>
  <si>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</si>
  <si>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</si>
  <si>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</si>
  <si>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</si>
  <si>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</si>
  <si>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</si>
  <si>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</si>
  <si>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</si>
  <si>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</si>
  <si>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</si>
  <si>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</si>
  <si>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</si>
  <si>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</si>
  <si>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</si>
  <si>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</si>
  <si>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</si>
  <si>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</si>
  <si>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</si>
  <si>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</si>
  <si>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</si>
  <si>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</si>
  <si>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</si>
  <si>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</si>
  <si>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</si>
  <si>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</si>
  <si>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</si>
  <si>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</si>
  <si>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</si>
  <si>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</si>
  <si>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</si>
  <si>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</si>
  <si>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</si>
  <si>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</si>
  <si>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</si>
  <si>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</si>
  <si>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</si>
  <si>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</si>
  <si>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</si>
  <si>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</si>
  <si>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</si>
  <si>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</si>
  <si>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</si>
  <si>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</si>
  <si>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</si>
  <si>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</si>
  <si>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</si>
  <si>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</si>
  <si>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</si>
  <si>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</si>
  <si>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</si>
  <si>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</si>
  <si>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</si>
  <si>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</si>
  <si>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</si>
  <si>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</si>
  <si>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</si>
  <si>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</si>
  <si>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</si>
  <si>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</si>
  <si>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</si>
  <si>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</si>
  <si>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</si>
  <si>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</si>
  <si>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</si>
  <si>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</si>
  <si>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</si>
  <si>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</si>
  <si>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</si>
  <si>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</si>
  <si>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</si>
  <si>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</si>
  <si>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</si>
  <si>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</si>
  <si>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</si>
  <si>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</si>
  <si>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</si>
  <si>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</si>
  <si>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</si>
  <si>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</si>
  <si>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</si>
  <si>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</si>
  <si>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</si>
  <si>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</si>
  <si>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</si>
  <si>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</si>
  <si>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</si>
  <si>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</si>
  <si>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</si>
  <si>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</si>
  <si>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</si>
  <si>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</si>
  <si>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</si>
  <si>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</si>
  <si>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</si>
  <si>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</si>
  <si>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</si>
  <si>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</si>
  <si>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</si>
  <si>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</si>
  <si>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</si>
  <si>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</si>
  <si>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</si>
  <si>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</si>
  <si>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</si>
  <si>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</si>
  <si>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</si>
  <si>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</si>
  <si>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</si>
  <si>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</si>
  <si>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</si>
  <si>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</si>
  <si>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</si>
  <si>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</si>
  <si>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</si>
  <si>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</si>
  <si>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</si>
  <si>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</si>
  <si>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</si>
  <si>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</si>
  <si>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</si>
  <si>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</si>
  <si>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</si>
  <si>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</si>
  <si>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</si>
  <si>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</si>
  <si>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</si>
  <si>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</si>
  <si>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</si>
  <si>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</si>
  <si>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</si>
  <si>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</si>
  <si>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</si>
  <si>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</si>
  <si>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</si>
  <si>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</si>
  <si>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</si>
  <si>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</si>
  <si>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</si>
  <si>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</si>
  <si>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</si>
  <si>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</si>
  <si>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</si>
  <si>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</si>
  <si>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</si>
  <si>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</si>
  <si>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</si>
  <si>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</si>
  <si>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</si>
  <si>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</si>
  <si>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</si>
  <si>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</si>
  <si>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</si>
  <si>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</si>
  <si>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</si>
  <si>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</si>
  <si>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</si>
  <si>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</si>
  <si>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</si>
  <si>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</si>
  <si>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</si>
  <si>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</si>
  <si>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</si>
  <si>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</si>
  <si>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</si>
  <si>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</si>
  <si>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</si>
  <si>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</si>
  <si>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</si>
  <si>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</si>
  <si>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</si>
  <si>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</si>
  <si>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</si>
  <si>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</si>
  <si>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</si>
  <si>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</si>
  <si>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</si>
  <si>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</si>
  <si>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</si>
  <si>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</si>
  <si>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</si>
  <si>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</si>
  <si>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</si>
  <si>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</si>
  <si>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</si>
  <si>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</si>
  <si>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</si>
  <si>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</si>
  <si>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</si>
  <si>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</si>
  <si>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</si>
  <si>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</si>
  <si>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</si>
  <si>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</si>
  <si>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</si>
  <si>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</si>
  <si>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</si>
  <si>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</si>
  <si>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</si>
  <si>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</si>
  <si>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</si>
  <si>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</si>
  <si>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</si>
  <si>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</si>
  <si>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</si>
  <si>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</si>
  <si>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</si>
  <si>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</si>
  <si>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</si>
  <si>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</si>
  <si>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</si>
  <si>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</si>
  <si>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</si>
  <si>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</si>
  <si>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</si>
  <si>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</si>
  <si>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</si>
  <si>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</si>
  <si>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</si>
  <si>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</si>
  <si>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</si>
  <si>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</si>
  <si>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</si>
  <si>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</si>
  <si>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</si>
  <si>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</si>
  <si>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</si>
  <si>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</si>
  <si>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</si>
  <si>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</si>
  <si>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</si>
  <si>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</si>
  <si>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</si>
  <si>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</si>
  <si>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</si>
  <si>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</si>
  <si>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</si>
  <si>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</si>
  <si>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</si>
  <si>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</si>
  <si>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</si>
  <si>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</si>
  <si>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</si>
  <si>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</si>
  <si>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</si>
  <si>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</si>
  <si>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</si>
  <si>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</si>
  <si>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</si>
  <si>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</si>
  <si>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</si>
  <si>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</si>
  <si>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</si>
  <si>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</si>
  <si>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</si>
  <si>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</si>
  <si>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</si>
  <si>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</si>
  <si>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</si>
  <si>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</si>
  <si>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</si>
  <si>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</si>
  <si>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</si>
  <si>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</si>
  <si>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</si>
  <si>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</si>
  <si>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</si>
  <si>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</si>
  <si>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</si>
  <si>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</si>
  <si>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</si>
  <si>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</si>
  <si>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</si>
  <si>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</si>
  <si>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</si>
  <si>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</si>
  <si>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</si>
  <si>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</si>
  <si>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</si>
  <si>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</si>
  <si>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</si>
  <si>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</si>
  <si>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</si>
  <si>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</si>
  <si>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</si>
  <si>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</si>
  <si>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</si>
  <si>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</si>
  <si>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</si>
  <si>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</si>
  <si>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</si>
  <si>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</si>
  <si>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</si>
  <si>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</si>
  <si>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</si>
  <si>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</si>
  <si>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</si>
  <si>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</si>
  <si>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</si>
  <si>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</si>
  <si>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</si>
  <si>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</si>
  <si>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</si>
  <si>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</si>
  <si>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</si>
  <si>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</si>
  <si>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</si>
  <si>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</si>
  <si>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</si>
  <si>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</si>
  <si>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</si>
  <si>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</si>
  <si>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</si>
  <si>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</si>
  <si>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</si>
  <si>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</si>
  <si>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</si>
  <si>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</si>
  <si>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</si>
  <si>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</si>
  <si>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</si>
  <si>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</si>
  <si>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</si>
  <si>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</si>
  <si>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</si>
  <si>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</si>
  <si>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</si>
  <si>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</si>
  <si>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</si>
  <si>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</si>
  <si>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</si>
  <si>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</si>
  <si>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</si>
  <si>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</si>
  <si>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</si>
  <si>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</si>
  <si>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</si>
  <si>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</si>
  <si>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</si>
  <si>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</si>
  <si>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</si>
  <si>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</si>
  <si>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</si>
  <si>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</si>
  <si>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</si>
  <si>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</si>
  <si>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</si>
  <si>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</si>
  <si>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</si>
  <si>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</si>
  <si>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</si>
  <si>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</si>
  <si>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</si>
  <si>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</si>
  <si>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</si>
  <si>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</si>
  <si>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</si>
  <si>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</si>
  <si>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</si>
  <si>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</si>
  <si>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</si>
  <si>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</si>
  <si>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</si>
  <si>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</si>
  <si>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</si>
  <si>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</si>
  <si>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</si>
  <si>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</si>
  <si>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</si>
  <si>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</si>
  <si>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</si>
  <si>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</si>
  <si>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</si>
  <si>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</si>
  <si>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</si>
  <si>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</si>
  <si>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</si>
  <si>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</si>
  <si>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</si>
  <si>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</si>
  <si>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</si>
  <si>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</si>
  <si>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</si>
  <si>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</si>
  <si>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</si>
  <si>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</si>
  <si>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</si>
  <si>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</si>
  <si>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</si>
  <si>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</si>
  <si>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</si>
  <si>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</si>
  <si>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</si>
  <si>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</si>
  <si>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</si>
  <si>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</si>
  <si>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</si>
  <si>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</si>
  <si>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</si>
  <si>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</si>
  <si>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</si>
  <si>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</si>
  <si>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</si>
  <si>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</si>
  <si>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</si>
  <si>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</si>
  <si>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</si>
  <si>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</si>
  <si>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</si>
  <si>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</si>
  <si>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</si>
  <si>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</si>
  <si>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</si>
  <si>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</si>
  <si>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</si>
  <si>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</si>
  <si>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</si>
  <si>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</si>
  <si>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</si>
  <si>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</si>
  <si>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</si>
  <si>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</si>
  <si>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</si>
  <si>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</si>
  <si>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</si>
  <si>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</si>
  <si>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</si>
  <si>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</si>
  <si>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</si>
  <si>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</si>
  <si>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</si>
  <si>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</si>
  <si>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</si>
  <si>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</si>
  <si>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</si>
  <si>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</si>
  <si>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</si>
  <si>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</si>
  <si>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</si>
  <si>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</si>
  <si>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</si>
  <si>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</si>
  <si>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</si>
  <si>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</si>
  <si>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</si>
  <si>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</si>
  <si>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</si>
  <si>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</si>
  <si>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</si>
  <si>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</si>
  <si>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</si>
  <si>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</si>
  <si>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</si>
  <si>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</si>
  <si>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</si>
  <si>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</si>
  <si>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</si>
  <si>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</si>
  <si>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</si>
  <si>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</si>
  <si>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</si>
  <si>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</si>
  <si>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</si>
  <si>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</si>
  <si>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</si>
  <si>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</si>
  <si>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</si>
  <si>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</si>
  <si>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</si>
  <si>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</si>
  <si>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</si>
  <si>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</si>
  <si>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</si>
  <si>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</si>
  <si>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</si>
  <si>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</si>
  <si>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</si>
  <si>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</si>
  <si>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</si>
  <si>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</si>
  <si>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</si>
  <si>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</si>
  <si>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</si>
  <si>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</si>
  <si>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</si>
  <si>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</si>
  <si>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</si>
  <si>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</si>
  <si>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</si>
  <si>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</si>
  <si>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</si>
  <si>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</si>
  <si>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</si>
  <si>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</si>
  <si>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</si>
  <si>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</si>
  <si>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</si>
  <si>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</si>
  <si>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</si>
  <si>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</si>
  <si>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</si>
  <si>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</si>
  <si>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</si>
  <si>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</si>
  <si>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</si>
  <si>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</si>
  <si>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</si>
  <si>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</si>
  <si>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</si>
  <si>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</si>
  <si>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</si>
  <si>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</si>
  <si>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</si>
  <si>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</si>
  <si>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</si>
  <si>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</si>
  <si>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</si>
  <si>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</si>
  <si>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</si>
  <si>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</si>
  <si>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</si>
  <si>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</si>
  <si>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</si>
  <si>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</si>
  <si>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</si>
  <si>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</si>
  <si>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</si>
  <si>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</si>
  <si>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</si>
  <si>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</si>
  <si>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</si>
  <si>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</si>
  <si>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</si>
  <si>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</si>
  <si>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</si>
  <si>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</si>
  <si>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</si>
  <si>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</si>
  <si>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</si>
  <si>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</si>
  <si>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</si>
  <si>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</si>
  <si>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</si>
  <si>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</si>
  <si>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</si>
  <si>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</si>
  <si>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</si>
  <si>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</si>
  <si>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</si>
  <si>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</si>
  <si>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</si>
  <si>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</si>
  <si>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</si>
  <si>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</si>
  <si>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</si>
  <si>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</si>
  <si>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</si>
  <si>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</si>
  <si>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</si>
  <si>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</si>
  <si>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</si>
  <si>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</si>
  <si>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</si>
  <si>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</si>
  <si>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</si>
  <si>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</si>
  <si>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</si>
  <si>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</si>
  <si>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</si>
  <si>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</si>
  <si>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</si>
  <si>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</si>
  <si>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</si>
  <si>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</si>
  <si>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</si>
  <si>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</si>
  <si>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</si>
  <si>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</si>
  <si>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</si>
  <si>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</si>
  <si>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</si>
  <si>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</si>
  <si>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</si>
  <si>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</si>
  <si>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</si>
  <si>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</si>
  <si>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</si>
  <si>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</si>
  <si>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</si>
  <si>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</si>
  <si>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</si>
  <si>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</si>
  <si>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</si>
  <si>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</si>
  <si>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</si>
  <si>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</si>
  <si>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</si>
  <si>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</si>
  <si>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</si>
  <si>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</si>
  <si>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</si>
  <si>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</si>
  <si>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</si>
  <si>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</si>
  <si>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</si>
  <si>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</si>
  <si>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</si>
  <si>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</si>
  <si>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</si>
  <si>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</si>
  <si>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</si>
  <si>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</si>
  <si>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</si>
  <si>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</si>
  <si>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</si>
  <si>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</si>
  <si>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</si>
  <si>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</si>
  <si>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</si>
  <si>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</si>
  <si>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</si>
  <si>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</si>
  <si>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</si>
  <si>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</si>
  <si>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</si>
  <si>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</si>
  <si>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</si>
  <si>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</si>
  <si>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</si>
  <si>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</si>
  <si>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</si>
  <si>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</si>
  <si>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</si>
  <si>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</si>
  <si>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</si>
  <si>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</si>
  <si>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</si>
  <si>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</si>
  <si>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</si>
  <si>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</si>
  <si>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</si>
  <si>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</si>
  <si>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</si>
  <si>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</si>
  <si>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</si>
  <si>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</si>
  <si>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</si>
  <si>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</si>
  <si>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</si>
  <si>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</si>
  <si>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</si>
  <si>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</si>
  <si>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</si>
  <si>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</si>
  <si>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</si>
  <si>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</si>
  <si>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</si>
  <si>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</si>
  <si>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</si>
  <si>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</si>
  <si>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</si>
  <si>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</si>
  <si>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</si>
  <si>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</si>
  <si>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</si>
  <si>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</si>
  <si>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</si>
  <si>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</si>
  <si>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</si>
  <si>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</si>
  <si>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</si>
  <si>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</si>
  <si>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</si>
  <si>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</si>
  <si>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</si>
  <si>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</si>
  <si>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</si>
  <si>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</si>
  <si>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</si>
  <si>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</si>
  <si>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</si>
  <si>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</si>
  <si>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</si>
  <si>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</si>
  <si>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</si>
  <si>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</si>
  <si>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</si>
  <si>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</si>
  <si>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</si>
  <si>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</si>
  <si>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</si>
  <si>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</si>
  <si>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</si>
  <si>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</si>
  <si>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</si>
  <si>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</si>
  <si>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</si>
  <si>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</si>
  <si>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</si>
  <si>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</si>
  <si>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</si>
  <si>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</si>
  <si>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</si>
  <si>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</si>
  <si>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</si>
  <si>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</si>
  <si>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</si>
  <si>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</si>
  <si>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</si>
  <si>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</si>
  <si>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</si>
  <si>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</si>
  <si>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</si>
  <si>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</si>
  <si>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</si>
  <si>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</si>
  <si>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</si>
  <si>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</si>
  <si>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</si>
  <si>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</si>
  <si>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</si>
  <si>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</si>
  <si>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</si>
  <si>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</si>
  <si>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</si>
  <si>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</si>
  <si>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</si>
  <si>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</si>
  <si>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</si>
  <si>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</si>
  <si>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</si>
  <si>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</si>
  <si>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</si>
  <si>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</si>
  <si>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</si>
  <si>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</si>
  <si>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</si>
  <si>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</si>
  <si>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</si>
  <si>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</si>
  <si>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</si>
  <si>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</si>
  <si>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</si>
  <si>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</si>
  <si>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</si>
  <si>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</si>
  <si>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</si>
  <si>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</si>
  <si>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</si>
  <si>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</si>
  <si>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</si>
  <si>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</si>
  <si>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</si>
  <si>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</si>
  <si>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</si>
  <si>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</si>
  <si>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</si>
  <si>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</si>
  <si>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</si>
  <si>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</si>
  <si>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</si>
  <si>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</si>
  <si>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</si>
  <si>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</si>
  <si>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</si>
  <si>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</si>
  <si>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</si>
  <si>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</si>
  <si>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</si>
  <si>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</si>
  <si>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</si>
  <si>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</si>
  <si>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</si>
  <si>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</si>
  <si>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</si>
  <si>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</si>
  <si>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</si>
  <si>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</si>
  <si>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</si>
  <si>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</si>
  <si>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</si>
  <si>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</si>
  <si>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</si>
  <si>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</si>
  <si>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</si>
  <si>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</si>
  <si>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</si>
  <si>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</si>
  <si>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</si>
  <si>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</si>
  <si>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</si>
  <si>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</si>
  <si>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</si>
  <si>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</si>
  <si>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</si>
  <si>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</si>
  <si>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</si>
  <si>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</si>
  <si>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</si>
  <si>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</si>
  <si>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</si>
  <si>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</si>
  <si>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</si>
  <si>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</si>
  <si>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</si>
  <si>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</si>
  <si>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</si>
  <si>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</si>
  <si>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</si>
  <si>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</si>
  <si>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</si>
  <si>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</si>
  <si>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</si>
  <si>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</si>
  <si>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</si>
  <si>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</si>
  <si>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</si>
  <si>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</si>
  <si>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</si>
  <si>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</si>
  <si>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</si>
  <si>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</si>
  <si>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</si>
  <si>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</si>
  <si>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</si>
  <si>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</si>
  <si>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</si>
  <si>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</si>
  <si>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</si>
  <si>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</si>
  <si>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</si>
  <si>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</si>
  <si>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</si>
  <si>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</si>
  <si>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</si>
  <si>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</si>
  <si>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</si>
  <si>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</si>
  <si>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</si>
  <si>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</si>
  <si>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</si>
  <si>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</si>
  <si>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</si>
  <si>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</si>
  <si>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</si>
  <si>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</si>
  <si>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</si>
  <si>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</si>
  <si>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</si>
  <si>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</si>
  <si>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</si>
  <si>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</si>
  <si>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</si>
  <si>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</si>
  <si>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</si>
  <si>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</si>
  <si>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</si>
  <si>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</si>
  <si>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</si>
  <si>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</si>
  <si>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</si>
  <si>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</si>
  <si>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</si>
  <si>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</si>
  <si>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</si>
  <si>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</si>
  <si>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</si>
  <si>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</si>
  <si>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</si>
  <si>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</si>
  <si>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</si>
  <si>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</si>
  <si>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</si>
  <si>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</si>
  <si>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</si>
  <si>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</si>
  <si>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</si>
  <si>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</si>
  <si>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</si>
  <si>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</si>
  <si>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</si>
  <si>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</si>
  <si>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</si>
  <si>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</si>
  <si>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</si>
  <si>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</si>
  <si>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</si>
  <si>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</si>
  <si>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</si>
  <si>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</si>
  <si>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</si>
  <si>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</si>
  <si>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</si>
  <si>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</si>
  <si>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</si>
  <si>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</si>
  <si>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</si>
  <si>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</si>
  <si>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</si>
  <si>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</si>
  <si>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</si>
  <si>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</si>
  <si>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</si>
  <si>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</si>
  <si>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</si>
  <si>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</si>
  <si>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</si>
  <si>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</si>
  <si>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</si>
  <si>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</si>
  <si>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</si>
  <si>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</si>
  <si>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</si>
  <si>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</si>
  <si>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</si>
  <si>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</si>
  <si>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</si>
  <si>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</si>
  <si>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</si>
  <si>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</si>
  <si>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</si>
  <si>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</si>
  <si>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</si>
  <si>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</si>
  <si>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</si>
  <si>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</si>
  <si>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</si>
  <si>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</si>
  <si>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</si>
  <si>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</si>
  <si>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</si>
  <si>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</si>
  <si>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</si>
  <si>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</si>
  <si>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</si>
  <si>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</si>
  <si>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</si>
  <si>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</si>
  <si>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</si>
  <si>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</si>
  <si>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</si>
  <si>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</si>
  <si>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</si>
  <si>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</si>
  <si>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</si>
  <si>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</si>
  <si>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</si>
  <si>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</si>
  <si>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</si>
  <si>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</si>
  <si>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</si>
  <si>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</si>
  <si>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</si>
  <si>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</si>
  <si>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</si>
  <si>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</si>
  <si>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</si>
  <si>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</si>
  <si>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</si>
  <si>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</si>
  <si>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</si>
  <si>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</si>
  <si>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</si>
  <si>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</si>
  <si>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</si>
  <si>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</si>
  <si>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</si>
  <si>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</si>
  <si>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</si>
  <si>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</si>
  <si>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</si>
  <si>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</si>
  <si>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</si>
  <si>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</si>
  <si>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</si>
  <si>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</si>
  <si>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</si>
  <si>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</si>
  <si>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</si>
  <si>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</si>
  <si>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</si>
  <si>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</si>
  <si>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</si>
  <si>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</si>
  <si>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</si>
  <si>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</si>
  <si>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</si>
  <si>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</si>
  <si>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</si>
  <si>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</si>
  <si>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</si>
  <si>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</si>
  <si>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</si>
  <si>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</si>
  <si>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</si>
  <si>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</si>
  <si>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</si>
  <si>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</si>
  <si>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</si>
  <si>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</si>
  <si>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</si>
  <si>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</si>
  <si>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</si>
  <si>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</si>
  <si>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</si>
  <si>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</si>
  <si>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</si>
  <si>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</si>
  <si>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</si>
  <si>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</si>
  <si>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</si>
  <si>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</si>
  <si>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</si>
  <si>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</si>
  <si>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</si>
  <si>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</si>
  <si>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</si>
  <si>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</si>
  <si>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</si>
  <si>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</si>
  <si>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</si>
  <si>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</si>
  <si>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</si>
  <si>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</si>
  <si>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</si>
  <si>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</si>
  <si>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</si>
  <si>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</si>
  <si>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</si>
  <si>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</si>
  <si>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</si>
  <si>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</si>
  <si>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</si>
  <si>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</si>
  <si>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</si>
  <si>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</si>
  <si>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</si>
  <si>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</si>
  <si>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</si>
  <si>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</si>
  <si>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</si>
  <si>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</si>
  <si>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</si>
  <si>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</si>
  <si>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</si>
  <si>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</si>
  <si>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</si>
  <si>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</si>
  <si>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</si>
  <si>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</si>
  <si>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</si>
  <si>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</si>
  <si>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</si>
  <si>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</si>
  <si>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</si>
  <si>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</si>
  <si>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</si>
  <si>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</si>
  <si>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</si>
  <si>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</si>
  <si>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</si>
  <si>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</si>
  <si>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</si>
  <si>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</si>
  <si>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</si>
  <si>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</si>
  <si>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</si>
  <si>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</si>
  <si>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</si>
  <si>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</si>
  <si>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</si>
  <si>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</si>
  <si>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</si>
  <si>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</si>
  <si>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</si>
  <si>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</si>
  <si>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</si>
  <si>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</si>
  <si>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</si>
  <si>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</si>
  <si>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</si>
  <si>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</si>
  <si>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</si>
  <si>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</si>
  <si>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</si>
  <si>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</si>
  <si>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</si>
  <si>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</si>
  <si>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</si>
  <si>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</si>
  <si>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</si>
  <si>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</si>
  <si>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</si>
  <si>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</si>
  <si>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</si>
  <si>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</si>
  <si>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</si>
  <si>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</si>
  <si>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</si>
  <si>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</si>
  <si>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</si>
  <si>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</si>
  <si>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</si>
  <si>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</si>
  <si>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</si>
  <si>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</si>
  <si>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</si>
  <si>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</si>
  <si>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</si>
  <si>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</si>
  <si>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</si>
  <si>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</si>
  <si>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</si>
  <si>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</si>
  <si>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</si>
  <si>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</si>
  <si>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</si>
  <si>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</si>
  <si>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</si>
  <si>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</si>
  <si>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</si>
  <si>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</si>
  <si>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</si>
  <si>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</si>
  <si>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</si>
  <si>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</si>
  <si>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</si>
  <si>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</si>
  <si>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</si>
  <si>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</si>
  <si>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</si>
  <si>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</si>
  <si>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</si>
  <si>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</si>
  <si>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</si>
  <si>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</si>
  <si>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</si>
  <si>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</si>
  <si>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</si>
  <si>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</si>
  <si>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</si>
  <si>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</si>
  <si>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</si>
  <si>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</si>
  <si>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</si>
  <si>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</si>
  <si>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</si>
  <si>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</si>
  <si>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</si>
  <si>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</si>
  <si>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</si>
  <si>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</si>
  <si>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</si>
  <si>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</si>
  <si>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</si>
  <si>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</si>
  <si>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</si>
  <si>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</si>
  <si>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</si>
  <si>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</si>
  <si>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</si>
  <si>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</si>
  <si>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</si>
  <si>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</si>
  <si>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</si>
  <si>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</si>
  <si>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</si>
  <si>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</si>
  <si>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</si>
  <si>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</si>
  <si>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</si>
  <si>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</si>
  <si>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</si>
  <si>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</si>
  <si>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</si>
  <si>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</si>
  <si>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</si>
  <si>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</si>
  <si>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</si>
  <si>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</si>
  <si>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</si>
  <si>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</si>
  <si>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</si>
  <si>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</si>
  <si>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</si>
  <si>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</si>
  <si>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</si>
  <si>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</si>
  <si>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</si>
  <si>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</si>
  <si>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</si>
  <si>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</si>
  <si>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</si>
  <si>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</si>
  <si>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</si>
  <si>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</si>
  <si>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</si>
  <si>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</si>
  <si>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</si>
  <si>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</si>
  <si>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</si>
  <si>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</si>
  <si>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</si>
  <si>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</si>
  <si>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</si>
  <si>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</si>
  <si>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</si>
  <si>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</si>
  <si>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</si>
  <si>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</si>
  <si>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</si>
  <si>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</si>
  <si>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</si>
  <si>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</si>
  <si>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</si>
  <si>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</si>
  <si>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</si>
  <si>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</si>
  <si>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</si>
  <si>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</si>
  <si>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</si>
  <si>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</si>
  <si>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</si>
  <si>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</si>
  <si>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</si>
  <si>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</si>
  <si>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</si>
  <si>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</si>
  <si>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</si>
  <si>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</si>
  <si>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</si>
  <si>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</si>
  <si>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</si>
  <si>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</si>
  <si>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</si>
  <si>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</si>
  <si>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</si>
  <si>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</si>
  <si>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</si>
  <si>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</si>
  <si>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</si>
  <si>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</si>
  <si>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</si>
  <si>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</si>
  <si>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</si>
  <si>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</si>
  <si>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</si>
  <si>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</si>
  <si>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</si>
  <si>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</si>
  <si>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</si>
  <si>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</si>
  <si>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</si>
  <si>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</si>
  <si>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</si>
  <si>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</si>
  <si>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</si>
  <si>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</si>
  <si>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</si>
  <si>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</si>
  <si>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</si>
  <si>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</si>
  <si>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</si>
  <si>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</si>
  <si>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</si>
  <si>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</si>
  <si>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</si>
  <si>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</si>
  <si>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</si>
  <si>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</si>
  <si>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</si>
  <si>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</si>
  <si>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</si>
  <si>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</si>
  <si>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</si>
  <si>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</si>
  <si>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</si>
  <si>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</si>
  <si>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</si>
  <si>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</si>
  <si>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</si>
  <si>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</si>
  <si>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</si>
  <si>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</si>
  <si>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</si>
  <si>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</si>
  <si>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</si>
  <si>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</si>
  <si>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</si>
  <si>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</si>
  <si>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</si>
  <si>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</si>
  <si>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</si>
  <si>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</si>
  <si>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</si>
  <si>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</si>
  <si>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</si>
  <si>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</si>
  <si>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</si>
  <si>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</si>
  <si>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</si>
  <si>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</si>
  <si>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</si>
  <si>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</si>
  <si>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</si>
  <si>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</si>
  <si>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</si>
  <si>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</si>
  <si>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</si>
  <si>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</si>
  <si>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</si>
  <si>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</si>
  <si>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</si>
  <si>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</si>
  <si>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</si>
  <si>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</si>
  <si>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</si>
  <si>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</si>
  <si>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</si>
  <si>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</si>
  <si>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</si>
  <si>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</si>
  <si>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</si>
  <si>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</si>
  <si>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</si>
  <si>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</si>
  <si>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</si>
  <si>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</si>
  <si>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</si>
  <si>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</si>
  <si>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</si>
  <si>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</si>
  <si>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</si>
  <si>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</si>
  <si>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</si>
  <si>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</si>
  <si>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</si>
  <si>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</si>
  <si>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</si>
  <si>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</si>
  <si>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</si>
  <si>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</si>
  <si>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</si>
  <si>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</si>
  <si>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</si>
  <si>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</si>
  <si>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</si>
  <si>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</si>
  <si>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</si>
  <si>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</si>
  <si>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</si>
  <si>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</si>
  <si>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</si>
  <si>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</si>
  <si>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</si>
  <si>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</si>
  <si>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</si>
  <si>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</si>
  <si>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</si>
  <si>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</si>
  <si>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</si>
  <si>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</si>
  <si>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</si>
  <si>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</si>
  <si>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</si>
  <si>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</si>
  <si>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</si>
  <si>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</si>
  <si>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</si>
  <si>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</si>
  <si>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</si>
  <si>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</si>
  <si>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</si>
  <si>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</si>
  <si>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</si>
  <si>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</si>
  <si>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</si>
  <si>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</si>
  <si>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</si>
  <si>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</si>
  <si>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</si>
  <si>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</si>
  <si>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</si>
  <si>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</si>
  <si>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</si>
  <si>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</si>
  <si>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</si>
  <si>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</si>
  <si>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</si>
  <si>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</si>
  <si>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</si>
  <si>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</si>
  <si>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</si>
  <si>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</si>
  <si>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</si>
  <si>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</si>
  <si>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</si>
  <si>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</si>
  <si>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</si>
  <si>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</si>
  <si>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</si>
  <si>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</si>
  <si>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</si>
  <si>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</si>
  <si>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</si>
  <si>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</si>
  <si>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</si>
  <si>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</si>
  <si>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</si>
  <si>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</si>
  <si>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</si>
  <si>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</si>
  <si>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</si>
  <si>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</si>
  <si>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</si>
  <si>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</si>
  <si>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</si>
  <si>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</si>
  <si>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</si>
  <si>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</si>
  <si>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</si>
  <si>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</si>
  <si>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</si>
  <si>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</si>
  <si>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</si>
  <si>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</si>
  <si>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</si>
  <si>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</si>
  <si>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</si>
  <si>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</si>
  <si>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</si>
  <si>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</si>
  <si>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</si>
  <si>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</si>
  <si>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</si>
  <si>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</si>
  <si>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</si>
  <si>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</si>
  <si>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</si>
  <si>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</si>
  <si>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</si>
  <si>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</si>
  <si>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</si>
  <si>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</si>
  <si>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</si>
  <si>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</si>
  <si>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</si>
  <si>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</si>
  <si>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</si>
  <si>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</si>
  <si>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</si>
  <si>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</si>
  <si>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</si>
  <si>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</si>
  <si>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</si>
  <si>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</si>
  <si>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</si>
  <si>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</si>
  <si>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</si>
  <si>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</si>
  <si>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</si>
  <si>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</si>
  <si>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</si>
  <si>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</si>
  <si>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</si>
  <si>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</si>
  <si>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</si>
  <si>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</si>
  <si>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</si>
  <si>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</si>
  <si>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</si>
  <si>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</si>
  <si>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</si>
  <si>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</si>
  <si>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</si>
  <si>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</si>
  <si>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</si>
  <si>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</si>
  <si>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</si>
  <si>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</si>
  <si>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</si>
  <si>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</si>
  <si>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</si>
  <si>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</si>
  <si>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</si>
  <si>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</si>
  <si>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</si>
  <si>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</si>
  <si>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</si>
  <si>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</si>
  <si>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</si>
  <si>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</si>
  <si>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</si>
  <si>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</si>
  <si>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</si>
  <si>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</si>
  <si>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</si>
  <si>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</si>
  <si>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</si>
  <si>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</si>
  <si>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</si>
  <si>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</si>
  <si>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</si>
  <si>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</si>
  <si>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</si>
  <si>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</si>
  <si>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</si>
  <si>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</si>
  <si>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</si>
  <si>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</si>
  <si>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</si>
  <si>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</si>
  <si>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</si>
  <si>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</si>
  <si>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</si>
  <si>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</si>
  <si>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</si>
  <si>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</si>
  <si>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</si>
  <si>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</si>
  <si>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</si>
  <si>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</si>
  <si>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</si>
  <si>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</si>
  <si>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</si>
  <si>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</si>
  <si>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</si>
  <si>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</si>
  <si>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</si>
  <si>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</si>
  <si>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</si>
  <si>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</si>
  <si>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</si>
  <si>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</si>
  <si>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</si>
  <si>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</si>
  <si>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</si>
  <si>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</si>
  <si>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</si>
  <si>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</si>
  <si>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</si>
  <si>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</si>
  <si>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</si>
  <si>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</si>
  <si>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</si>
  <si>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</si>
  <si>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</si>
  <si>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</si>
  <si>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</si>
  <si>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</si>
  <si>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</si>
  <si>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</si>
  <si>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</si>
  <si>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</si>
  <si>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</si>
  <si>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</si>
  <si>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</si>
  <si>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</si>
  <si>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</si>
  <si>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</si>
  <si>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</si>
  <si>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</si>
  <si>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</si>
  <si>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</si>
  <si>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</si>
  <si>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</si>
  <si>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</si>
  <si>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</si>
  <si>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</si>
  <si>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</si>
  <si>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</si>
  <si>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</si>
  <si>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</si>
  <si>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</si>
  <si>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</si>
  <si>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</si>
  <si>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</si>
  <si>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</si>
  <si>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</si>
  <si>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</si>
  <si>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</si>
  <si>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</si>
  <si>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</si>
  <si>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</si>
  <si>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</si>
  <si>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</si>
  <si>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</si>
  <si>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</si>
  <si>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</si>
  <si>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</si>
  <si>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</si>
  <si>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</si>
  <si>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</si>
  <si>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</si>
  <si>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</si>
  <si>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</si>
  <si>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</si>
  <si>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</si>
  <si>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</si>
  <si>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</si>
  <si>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</si>
  <si>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</si>
  <si>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</si>
  <si>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</si>
  <si>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</si>
  <si>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</si>
  <si>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</si>
  <si>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</si>
  <si>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</si>
  <si>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</si>
  <si>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</si>
  <si>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</si>
  <si>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</si>
  <si>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</si>
  <si>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</si>
  <si>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</si>
  <si>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</si>
  <si>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</si>
  <si>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</si>
  <si>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</si>
  <si>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</si>
  <si>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</si>
  <si>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</si>
  <si>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</si>
  <si>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</si>
  <si>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</si>
  <si>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</si>
  <si>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</si>
  <si>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</si>
  <si>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</si>
  <si>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</si>
  <si>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</si>
  <si>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</si>
  <si>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</si>
  <si>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</si>
  <si>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</si>
  <si>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</si>
  <si>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</si>
  <si>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</si>
  <si>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</si>
  <si>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</si>
  <si>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</si>
  <si>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</si>
  <si>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</si>
  <si>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</si>
  <si>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</si>
  <si>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</si>
  <si>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</si>
  <si>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</si>
  <si>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</si>
  <si>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</si>
  <si>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</si>
  <si>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</si>
  <si>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</si>
  <si>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</si>
  <si>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</si>
  <si>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</si>
  <si>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</si>
  <si>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</si>
  <si>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</si>
  <si>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</si>
  <si>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</si>
  <si>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</si>
  <si>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</si>
  <si>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</si>
  <si>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</si>
  <si>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</si>
  <si>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</si>
  <si>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</si>
  <si>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</si>
  <si>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</si>
  <si>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</si>
  <si>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</si>
  <si>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</si>
  <si>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</si>
  <si>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</si>
  <si>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</si>
  <si>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</si>
  <si>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</si>
  <si>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</si>
  <si>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</si>
  <si>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</si>
  <si>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</si>
  <si>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</si>
  <si>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</si>
  <si>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</si>
  <si>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</si>
  <si>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</si>
  <si>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</si>
  <si>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</si>
  <si>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</si>
  <si>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</si>
  <si>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</si>
  <si>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</si>
  <si>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</si>
  <si>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</si>
  <si>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</si>
  <si>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</si>
  <si>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</si>
  <si>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</si>
  <si>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</si>
  <si>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</si>
  <si>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</si>
  <si>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</si>
  <si>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</si>
  <si>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</si>
  <si>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</si>
  <si>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</si>
  <si>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</si>
  <si>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</si>
  <si>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</si>
  <si>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</si>
  <si>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</si>
  <si>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</si>
  <si>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</si>
  <si>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</si>
  <si>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</si>
  <si>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</si>
  <si>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</si>
  <si>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</si>
  <si>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</si>
  <si>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</si>
  <si>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</si>
  <si>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</si>
  <si>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</si>
  <si>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</si>
  <si>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</si>
  <si>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</si>
  <si>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</si>
  <si>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</si>
  <si>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</si>
  <si>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</si>
  <si>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</si>
  <si>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</si>
  <si>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</si>
  <si>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</si>
  <si>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</si>
  <si>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</si>
  <si>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</si>
  <si>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</si>
  <si>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</si>
  <si>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</si>
  <si>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</si>
  <si>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</si>
  <si>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</si>
  <si>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</si>
  <si>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</si>
  <si>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</si>
  <si>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</si>
  <si>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</si>
  <si>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</si>
  <si>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</si>
  <si>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</si>
  <si>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</si>
  <si>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</si>
  <si>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</si>
  <si>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</si>
  <si>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</si>
  <si>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</si>
  <si>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</si>
  <si>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</si>
  <si>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</si>
  <si>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</si>
  <si>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</si>
  <si>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</si>
  <si>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</si>
  <si>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</si>
  <si>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</si>
  <si>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</si>
  <si>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</si>
  <si>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</si>
  <si>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</si>
  <si>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</si>
  <si>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</si>
  <si>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</si>
  <si>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</si>
  <si>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</si>
  <si>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</si>
  <si>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</si>
  <si>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</si>
  <si>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</si>
  <si>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</si>
  <si>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</si>
  <si>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</si>
  <si>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</si>
  <si>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</si>
  <si>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</si>
  <si>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</si>
  <si>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</si>
  <si>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</si>
  <si>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</si>
  <si>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</si>
  <si>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</si>
  <si>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</si>
  <si>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</si>
  <si>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</si>
  <si>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</si>
  <si>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</si>
  <si>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</si>
  <si>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</si>
  <si>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</si>
  <si>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</si>
  <si>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</si>
  <si>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</si>
  <si>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</si>
  <si>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</si>
  <si>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</si>
  <si>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</si>
  <si>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</si>
  <si>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</si>
  <si>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</si>
  <si>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</si>
  <si>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</si>
  <si>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</si>
  <si>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</si>
  <si>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</si>
  <si>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</si>
  <si>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</si>
  <si>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</si>
  <si>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</si>
  <si>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</si>
  <si>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</si>
  <si>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</si>
  <si>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</si>
  <si>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</si>
  <si>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</si>
  <si>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</si>
  <si>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</si>
  <si>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</si>
  <si>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</si>
  <si>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</si>
  <si>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</si>
  <si>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</si>
  <si>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</si>
  <si>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</si>
  <si>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</si>
  <si>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</si>
  <si>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</si>
  <si>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</si>
  <si>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</si>
  <si>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</si>
  <si>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</si>
  <si>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</si>
  <si>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</si>
  <si>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</si>
  <si>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</si>
  <si>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</si>
  <si>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</si>
  <si>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</si>
  <si>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</si>
  <si>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</si>
  <si>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</si>
  <si>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</si>
  <si>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</si>
  <si>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</si>
  <si>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</si>
  <si>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</si>
  <si>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</si>
  <si>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</si>
  <si>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</si>
  <si>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</si>
  <si>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</si>
  <si>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</si>
  <si>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</si>
  <si>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</si>
  <si>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</si>
  <si>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</si>
  <si>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</si>
  <si>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</si>
  <si>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</si>
  <si>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</si>
  <si>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</si>
  <si>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</si>
  <si>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</si>
  <si>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</si>
  <si>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</si>
  <si>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</si>
  <si>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</si>
  <si>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</si>
  <si>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</si>
  <si>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</si>
  <si>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</si>
  <si>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</si>
  <si>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</si>
  <si>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</si>
  <si>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</si>
  <si>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</si>
  <si>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</si>
  <si>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</si>
  <si>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</si>
  <si>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</si>
  <si>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</si>
  <si>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</si>
  <si>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</si>
  <si>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</si>
  <si>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</si>
  <si>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</si>
  <si>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</si>
  <si>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</si>
  <si>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</si>
  <si>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</si>
  <si>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</si>
  <si>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</si>
  <si>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</si>
  <si>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</si>
  <si>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</si>
  <si>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</si>
  <si>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</si>
  <si>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</si>
  <si>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</si>
  <si>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</si>
  <si>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</si>
  <si>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</si>
  <si>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</si>
  <si>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</si>
  <si>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</si>
  <si>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</si>
  <si>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</si>
  <si>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</si>
  <si>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</si>
  <si>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</si>
  <si>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</si>
  <si>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</si>
  <si>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</si>
  <si>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</si>
  <si>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</si>
  <si>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</si>
  <si>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</si>
  <si>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</si>
  <si>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</si>
  <si>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</si>
  <si>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</si>
  <si>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</si>
  <si>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</si>
  <si>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</si>
  <si>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</si>
  <si>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</si>
  <si>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</si>
  <si>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</si>
  <si>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</si>
  <si>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</si>
  <si>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</si>
  <si>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</si>
  <si>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</si>
  <si>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</si>
  <si>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</si>
  <si>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</si>
  <si>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</si>
  <si>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</si>
  <si>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</si>
  <si>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</si>
  <si>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</si>
  <si>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</si>
  <si>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</si>
  <si>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</si>
  <si>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</si>
  <si>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</si>
  <si>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</si>
  <si>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</si>
  <si>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</si>
  <si>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</si>
  <si>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</si>
  <si>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</si>
  <si>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</si>
  <si>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</si>
  <si>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</si>
  <si>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</si>
  <si>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</si>
  <si>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</si>
  <si>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</si>
  <si>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</si>
  <si>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</si>
  <si>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</si>
  <si>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</si>
  <si>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</si>
  <si>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</si>
  <si>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</si>
  <si>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</si>
  <si>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</si>
  <si>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</si>
  <si>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</si>
  <si>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</si>
  <si>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</si>
  <si>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</si>
  <si>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</si>
  <si>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</si>
  <si>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</si>
  <si>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</si>
  <si>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</si>
  <si>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</si>
  <si>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</si>
  <si>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</si>
  <si>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</si>
  <si>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</si>
  <si>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</si>
  <si>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</si>
  <si>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</si>
  <si>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</si>
  <si>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</si>
  <si>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</si>
  <si>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</si>
  <si>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</si>
  <si>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</si>
  <si>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</si>
  <si>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</si>
  <si>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</si>
  <si>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</si>
  <si>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</si>
  <si>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</si>
  <si>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</si>
  <si>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</si>
  <si>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</si>
  <si>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</si>
  <si>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</si>
  <si>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</si>
  <si>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</si>
  <si>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</si>
  <si>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</si>
  <si>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</si>
  <si>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</si>
  <si>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</si>
  <si>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</si>
  <si>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</si>
  <si>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</si>
  <si>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</si>
  <si>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</si>
  <si>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</si>
  <si>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</si>
  <si>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</si>
  <si>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</si>
  <si>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</si>
  <si>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</si>
  <si>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</si>
  <si>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</si>
  <si>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</si>
  <si>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</si>
  <si>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</si>
  <si>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</si>
  <si>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</si>
  <si>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</si>
  <si>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</si>
  <si>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</si>
  <si>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</si>
  <si>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</si>
  <si>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</si>
  <si>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</si>
  <si>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</si>
  <si>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</si>
  <si>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</si>
  <si>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</si>
  <si>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</si>
  <si>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</si>
  <si>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</si>
  <si>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</si>
  <si>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</si>
  <si>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</si>
  <si>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</si>
  <si>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</si>
  <si>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</si>
  <si>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</si>
  <si>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</si>
  <si>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</si>
  <si>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</si>
  <si>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</si>
  <si>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</si>
  <si>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</si>
  <si>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</si>
  <si>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</si>
  <si>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</si>
  <si>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</si>
  <si>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</si>
  <si>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</si>
  <si>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</si>
  <si>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</si>
  <si>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</si>
  <si>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</si>
  <si>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</si>
  <si>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</si>
  <si>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</si>
  <si>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</si>
  <si>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</si>
  <si>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</si>
  <si>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</si>
  <si>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</si>
  <si>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</si>
  <si>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</si>
  <si>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</si>
  <si>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</si>
  <si>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</si>
  <si>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</si>
  <si>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</si>
  <si>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</si>
  <si>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</si>
  <si>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</si>
  <si>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</si>
  <si>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</si>
  <si>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</si>
  <si>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</si>
  <si>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</si>
  <si>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</si>
  <si>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</si>
  <si>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</si>
  <si>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</si>
  <si>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</si>
  <si>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</si>
  <si>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</si>
  <si>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</si>
  <si>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</si>
  <si>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</si>
  <si>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</si>
  <si>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</si>
  <si>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</si>
  <si>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</si>
  <si>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</si>
  <si>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</si>
  <si>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</si>
  <si>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</si>
  <si>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</si>
  <si>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</si>
  <si>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</si>
  <si>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</si>
  <si>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</si>
  <si>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</si>
  <si>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</si>
  <si>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</si>
  <si>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</si>
  <si>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</si>
  <si>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</si>
  <si>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</si>
  <si>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</si>
  <si>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</si>
  <si>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</si>
  <si>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</si>
  <si>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</si>
  <si>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</si>
  <si>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</si>
  <si>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</si>
  <si>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</si>
  <si>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</si>
  <si>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</si>
  <si>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</si>
  <si>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</si>
  <si>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</si>
  <si>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</si>
  <si>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</si>
  <si>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</si>
  <si>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</si>
  <si>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</si>
  <si>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</si>
  <si>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</si>
  <si>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</si>
  <si>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</si>
  <si>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</si>
  <si>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</si>
  <si>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</si>
  <si>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</si>
  <si>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</si>
  <si>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</si>
  <si>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</si>
  <si>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</si>
  <si>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</si>
  <si>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</si>
  <si>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</si>
  <si>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</si>
  <si>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</si>
  <si>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</si>
  <si>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</si>
  <si>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</si>
  <si>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</si>
  <si>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</si>
  <si>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</si>
  <si>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</si>
  <si>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</si>
  <si>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</si>
  <si>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</si>
  <si>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</si>
  <si>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</si>
  <si>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</si>
  <si>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</si>
  <si>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</si>
  <si>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</si>
  <si>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</si>
  <si>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</si>
  <si>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</si>
  <si>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</si>
  <si>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</si>
  <si>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</si>
  <si>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</si>
  <si>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</si>
  <si>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</si>
  <si>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</si>
  <si>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</si>
  <si>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</si>
  <si>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</si>
  <si>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</si>
  <si>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</si>
  <si>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</si>
  <si>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</si>
  <si>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</si>
  <si>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</si>
  <si>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</si>
  <si>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</si>
  <si>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</si>
  <si>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</si>
  <si>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</si>
  <si>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</si>
  <si>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</si>
  <si>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</si>
  <si>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</si>
  <si>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</si>
  <si>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</si>
  <si>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</si>
  <si>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</si>
  <si>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</si>
  <si>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</si>
  <si>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</si>
  <si>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</si>
  <si>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</si>
  <si>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</si>
  <si>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</si>
  <si>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</si>
  <si>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</si>
  <si>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</si>
  <si>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</si>
  <si>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</si>
  <si>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</si>
  <si>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</si>
  <si>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</si>
  <si>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</si>
  <si>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</si>
  <si>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</si>
  <si>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</si>
  <si>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</si>
  <si>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</si>
  <si>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</si>
  <si>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</si>
  <si>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</si>
  <si>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</si>
  <si>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</si>
  <si>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</si>
  <si>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</si>
  <si>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</si>
  <si>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</si>
  <si>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</si>
  <si>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</si>
  <si>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</si>
  <si>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</si>
  <si>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</si>
  <si>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</si>
  <si>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</si>
  <si>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</si>
  <si>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</si>
  <si>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</si>
  <si>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</si>
  <si>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</si>
  <si>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</si>
  <si>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</si>
  <si>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</si>
  <si>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</si>
  <si>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</si>
  <si>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</si>
  <si>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</si>
  <si>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</si>
  <si>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</si>
  <si>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</si>
  <si>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</si>
  <si>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</si>
  <si>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</si>
  <si>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</si>
  <si>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</si>
  <si>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</si>
  <si>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</si>
  <si>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</si>
  <si>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</si>
  <si>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</si>
  <si>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</si>
  <si>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</si>
  <si>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</si>
  <si>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</si>
  <si>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</si>
  <si>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</si>
  <si>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</si>
  <si>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</si>
  <si>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</si>
  <si>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</si>
  <si>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</si>
  <si>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</si>
  <si>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</si>
  <si>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</si>
  <si>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</si>
  <si>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</si>
  <si>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</si>
  <si>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</si>
  <si>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</si>
  <si>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</si>
  <si>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</si>
  <si>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</si>
  <si>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</si>
  <si>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</si>
  <si>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</si>
  <si>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</si>
  <si>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</si>
  <si>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</si>
  <si>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</si>
  <si>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</si>
  <si>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</si>
  <si>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</si>
  <si>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</si>
  <si>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</si>
  <si>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</si>
  <si>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</si>
  <si>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</si>
  <si>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</si>
  <si>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</si>
  <si>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</si>
  <si>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</si>
  <si>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</si>
  <si>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</si>
  <si>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</si>
  <si>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</si>
  <si>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</si>
  <si>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</si>
  <si>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</si>
  <si>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</si>
  <si>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</si>
  <si>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</si>
  <si>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</si>
  <si>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</si>
  <si>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</si>
  <si>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</si>
  <si>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</si>
  <si>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</si>
  <si>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</si>
  <si>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</si>
  <si>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</si>
  <si>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</si>
  <si>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</si>
  <si>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</si>
  <si>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</si>
  <si>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</si>
  <si>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</si>
  <si>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</si>
  <si>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</si>
  <si>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</si>
  <si>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</si>
  <si>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</si>
  <si>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</si>
  <si>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</si>
  <si>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</si>
  <si>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</si>
  <si>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</si>
  <si>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</si>
  <si>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</si>
  <si>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</si>
  <si>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</si>
  <si>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</si>
  <si>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</si>
  <si>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</si>
  <si>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</si>
  <si>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</si>
  <si>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</si>
  <si>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</si>
  <si>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</si>
  <si>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</si>
  <si>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</si>
  <si>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</si>
  <si>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</si>
  <si>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</si>
  <si>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</si>
  <si>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</si>
  <si>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</si>
  <si>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</si>
  <si>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</si>
  <si>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</si>
  <si>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</si>
  <si>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</si>
  <si>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</si>
  <si>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</si>
  <si>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</si>
  <si>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</si>
  <si>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</si>
  <si>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</si>
  <si>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</si>
  <si>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</si>
  <si>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</si>
  <si>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</si>
  <si>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</si>
  <si>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</si>
  <si>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</si>
  <si>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</si>
  <si>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</si>
  <si>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</si>
  <si>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</si>
  <si>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</si>
  <si>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</si>
  <si>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</si>
  <si>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</si>
  <si>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</si>
  <si>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</si>
  <si>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</si>
  <si>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</si>
  <si>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</si>
  <si>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</si>
  <si>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</si>
  <si>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</si>
  <si>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</si>
  <si>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</si>
  <si>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</si>
  <si>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</si>
  <si>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</si>
  <si>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</si>
  <si>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</si>
  <si>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</si>
  <si>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</si>
  <si>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</si>
  <si>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</si>
  <si>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</si>
  <si>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</si>
  <si>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</si>
  <si>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</si>
  <si>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</si>
  <si>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</si>
  <si>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</si>
  <si>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</si>
  <si>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</si>
  <si>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</si>
  <si>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</si>
  <si>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</si>
  <si>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</si>
  <si>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</si>
  <si>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</si>
  <si>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</si>
  <si>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</si>
  <si>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</si>
  <si>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</si>
  <si>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</si>
  <si>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</si>
  <si>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</si>
  <si>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</si>
  <si>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</si>
  <si>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</si>
  <si>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</si>
  <si>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</si>
  <si>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</si>
  <si>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</si>
  <si>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</si>
  <si>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</si>
  <si>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</si>
  <si>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</si>
  <si>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</si>
  <si>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</si>
  <si>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</si>
  <si>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</si>
  <si>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</si>
  <si>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</si>
  <si>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</si>
  <si>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</si>
  <si>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</si>
  <si>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</si>
  <si>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</si>
  <si>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</si>
  <si>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</si>
  <si>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</si>
  <si>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</si>
  <si>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</si>
  <si>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</si>
  <si>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</si>
  <si>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</si>
  <si>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</si>
  <si>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</si>
  <si>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</si>
  <si>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</si>
  <si>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</si>
  <si>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</si>
  <si>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</si>
  <si>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</si>
  <si>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</si>
  <si>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</si>
  <si>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</si>
  <si>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</si>
  <si>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</si>
  <si>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</si>
  <si>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</si>
  <si>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</si>
  <si>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</si>
  <si>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</si>
  <si>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</si>
  <si>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</si>
  <si>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</si>
  <si>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</si>
  <si>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</si>
  <si>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</si>
  <si>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</si>
  <si>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</si>
  <si>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</si>
  <si>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</si>
  <si>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</si>
  <si>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</si>
  <si>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</si>
  <si>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</si>
  <si>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</si>
  <si>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</si>
  <si>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</si>
  <si>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</si>
  <si>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</si>
  <si>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</si>
  <si>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</si>
  <si>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</si>
  <si>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</si>
  <si>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</si>
  <si>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</si>
  <si>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</si>
  <si>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</si>
  <si>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</si>
  <si>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</si>
  <si>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</si>
  <si>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</si>
  <si>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</si>
  <si>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</si>
  <si>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</si>
  <si>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</si>
  <si>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</si>
  <si>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</si>
  <si>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</si>
  <si>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</si>
  <si>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</si>
  <si>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</si>
  <si>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</si>
  <si>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</si>
  <si>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</si>
  <si>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</si>
  <si>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</si>
  <si>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</si>
  <si>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</si>
  <si>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</si>
  <si>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</si>
  <si>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</si>
  <si>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</si>
  <si>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</si>
  <si>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</si>
  <si>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</si>
  <si>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</si>
  <si>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</si>
  <si>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</si>
  <si>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</si>
  <si>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</si>
  <si>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</si>
  <si>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</si>
  <si>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</si>
  <si>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</si>
  <si>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</si>
  <si>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</si>
  <si>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</si>
  <si>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</si>
  <si>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</si>
  <si>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</si>
  <si>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</si>
  <si>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</si>
  <si>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</si>
  <si>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</si>
  <si>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</si>
  <si>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</si>
  <si>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</si>
  <si>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</si>
  <si>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</si>
  <si>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</si>
  <si>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</si>
  <si>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</si>
  <si>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</si>
  <si>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</si>
  <si>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</si>
  <si>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</si>
  <si>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</si>
  <si>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</si>
  <si>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</si>
  <si>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</si>
  <si>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</si>
  <si>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</si>
  <si>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</si>
  <si>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</si>
  <si>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</si>
  <si>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</si>
  <si>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</si>
  <si>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</si>
  <si>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</si>
  <si>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</si>
  <si>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</si>
  <si>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</si>
  <si>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</si>
  <si>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</si>
  <si>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</si>
  <si>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</si>
  <si>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</si>
  <si>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</si>
  <si>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</si>
  <si>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</si>
  <si>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</si>
  <si>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</si>
  <si>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</si>
  <si>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</si>
  <si>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</si>
  <si>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</si>
  <si>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</si>
  <si>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</si>
  <si>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</si>
  <si>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</si>
  <si>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</si>
  <si>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</si>
  <si>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</si>
  <si>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</si>
  <si>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</si>
  <si>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</si>
  <si>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</si>
  <si>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</si>
  <si>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</si>
  <si>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</si>
  <si>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</si>
  <si>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</si>
  <si>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</si>
  <si>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</si>
  <si>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</si>
  <si>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</si>
  <si>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</si>
  <si>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</si>
  <si>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</si>
  <si>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</si>
  <si>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</si>
  <si>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</si>
  <si>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</si>
  <si>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</si>
  <si>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</si>
  <si>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</si>
  <si>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</si>
  <si>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</si>
  <si>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</si>
  <si>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</si>
  <si>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</si>
  <si>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</si>
  <si>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</si>
  <si>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</si>
  <si>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</si>
  <si>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</si>
  <si>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</si>
  <si>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</si>
  <si>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</si>
  <si>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</si>
  <si>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</si>
  <si>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</si>
  <si>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</si>
  <si>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</si>
  <si>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</si>
  <si>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</si>
  <si>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</si>
  <si>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</si>
  <si>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</si>
  <si>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</si>
  <si>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</si>
  <si>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</si>
  <si>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</si>
  <si>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</si>
  <si>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</si>
  <si>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</si>
  <si>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</si>
  <si>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</si>
  <si>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</si>
  <si>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</si>
  <si>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</si>
  <si>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</si>
  <si>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</si>
  <si>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</si>
  <si>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</si>
  <si>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</si>
  <si>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</si>
  <si>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</si>
  <si>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</si>
  <si>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</si>
  <si>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</si>
  <si>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</si>
  <si>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</si>
  <si>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</si>
  <si>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</si>
  <si>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</si>
  <si>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</si>
  <si>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</si>
  <si>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</si>
  <si>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</si>
  <si>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</si>
  <si>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</si>
  <si>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</si>
  <si>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</si>
  <si>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</si>
  <si>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</si>
  <si>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</si>
  <si>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</si>
  <si>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</si>
  <si>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</si>
  <si>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</si>
  <si>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</si>
  <si>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</si>
  <si>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</si>
  <si>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</si>
  <si>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</si>
  <si>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</si>
  <si>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</si>
  <si>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</si>
  <si>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</si>
  <si>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</si>
  <si>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</si>
  <si>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</si>
  <si>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</si>
  <si>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</si>
  <si>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</si>
  <si>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</si>
  <si>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</si>
  <si>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</si>
  <si>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</si>
  <si>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</si>
  <si>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</si>
  <si>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</si>
  <si>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</si>
  <si>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</si>
  <si>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</si>
  <si>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</si>
  <si>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</si>
  <si>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</si>
  <si>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</si>
  <si>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</si>
  <si>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</si>
  <si>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</si>
  <si>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</si>
  <si>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</si>
  <si>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</si>
  <si>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</si>
  <si>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</si>
  <si>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</si>
  <si>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</si>
  <si>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</si>
  <si>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</si>
  <si>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</si>
  <si>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</si>
  <si>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</si>
  <si>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</si>
  <si>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</si>
  <si>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</si>
  <si>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</si>
  <si>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</si>
  <si>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</si>
  <si>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</si>
  <si>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</si>
  <si>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</si>
  <si>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</si>
  <si>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</si>
  <si>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</si>
  <si>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</si>
  <si>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</si>
  <si>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</si>
  <si>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</si>
  <si>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</si>
  <si>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</si>
  <si>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</si>
  <si>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</si>
  <si>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</si>
  <si>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</si>
  <si>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</si>
  <si>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</si>
  <si>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</si>
  <si>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</si>
  <si>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</si>
  <si>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</si>
  <si>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</si>
  <si>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</si>
  <si>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</si>
  <si>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</si>
  <si>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</si>
  <si>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</si>
  <si>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</si>
  <si>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</si>
  <si>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</si>
  <si>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</si>
  <si>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</si>
  <si>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</si>
  <si>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</si>
  <si>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</si>
  <si>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</si>
  <si>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</si>
  <si>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</si>
  <si>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</si>
  <si>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</si>
  <si>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</si>
  <si>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</si>
  <si>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</si>
  <si>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</si>
  <si>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</si>
  <si>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</si>
  <si>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</si>
  <si>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</si>
  <si>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</si>
  <si>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</si>
  <si>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</si>
  <si>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</si>
  <si>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</si>
  <si>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</si>
  <si>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</si>
  <si>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</si>
  <si>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</si>
  <si>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</si>
  <si>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</si>
  <si>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</si>
  <si>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</si>
  <si>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</si>
  <si>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</si>
  <si>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</si>
  <si>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</si>
  <si>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</si>
  <si>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</si>
  <si>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</si>
  <si>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</si>
  <si>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</si>
  <si>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</si>
  <si>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</si>
  <si>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</si>
  <si>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</si>
  <si>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</si>
  <si>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</si>
  <si>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</si>
  <si>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</si>
  <si>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</si>
  <si>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</si>
  <si>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</si>
  <si>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</si>
  <si>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</si>
  <si>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</si>
  <si>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</si>
  <si>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</si>
  <si>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</si>
  <si>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</si>
  <si>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</si>
  <si>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</si>
  <si>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</si>
  <si>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</si>
  <si>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</si>
  <si>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</si>
  <si>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</si>
  <si>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</si>
  <si>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</si>
  <si>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</si>
  <si>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</si>
  <si>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</si>
  <si>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</si>
  <si>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</si>
  <si>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</si>
  <si>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</si>
  <si>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</si>
  <si>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</si>
  <si>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</si>
  <si>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</si>
  <si>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</si>
  <si>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</si>
  <si>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</si>
  <si>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</si>
  <si>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</si>
  <si>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</si>
  <si>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</si>
  <si>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</si>
  <si>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</si>
  <si>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</si>
  <si>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</si>
  <si>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</si>
  <si>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</si>
  <si>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</si>
  <si>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</si>
  <si>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</si>
  <si>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</si>
  <si>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</si>
  <si>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</si>
  <si>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</si>
  <si>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</si>
  <si>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</si>
  <si>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</si>
  <si>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</si>
  <si>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</si>
  <si>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</si>
  <si>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</si>
  <si>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</si>
  <si>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</si>
  <si>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</si>
  <si>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</si>
  <si>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</si>
  <si>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</si>
  <si>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</si>
  <si>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</si>
  <si>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</si>
  <si>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</si>
  <si>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</si>
  <si>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</si>
  <si>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</si>
  <si>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</si>
  <si>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</si>
  <si>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</si>
  <si>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</si>
  <si>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</si>
  <si>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</si>
  <si>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</si>
  <si>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</si>
  <si>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</si>
  <si>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</si>
  <si>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</si>
  <si>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</si>
  <si>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</si>
  <si>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</si>
  <si>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</si>
  <si>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</si>
  <si>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</si>
  <si>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</si>
  <si>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</si>
  <si>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</si>
  <si>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</si>
  <si>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</si>
  <si>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</si>
  <si>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</si>
  <si>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</si>
  <si>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</si>
  <si>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</si>
  <si>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</si>
  <si>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</si>
  <si>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</si>
  <si>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</si>
  <si>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</si>
  <si>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</si>
  <si>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</si>
  <si>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</si>
  <si>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</si>
  <si>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</si>
  <si>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</si>
  <si>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</si>
  <si>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</si>
  <si>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</si>
  <si>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</si>
  <si>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</si>
  <si>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</si>
  <si>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</si>
  <si>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</si>
  <si>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</si>
  <si>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</si>
  <si>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</si>
  <si>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</si>
  <si>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</si>
  <si>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</si>
  <si>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</si>
  <si>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</si>
  <si>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</si>
  <si>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</si>
  <si>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</si>
  <si>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</si>
  <si>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</si>
  <si>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</si>
  <si>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</si>
  <si>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</si>
  <si>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</si>
  <si>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</si>
  <si>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</si>
  <si>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</si>
  <si>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</si>
  <si>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</si>
  <si>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</si>
  <si>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</si>
  <si>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</si>
  <si>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</si>
  <si>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</si>
  <si>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</si>
  <si>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</si>
  <si>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</si>
  <si>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</si>
  <si>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</si>
  <si>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</si>
  <si>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</si>
  <si>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</si>
  <si>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</si>
  <si>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</si>
  <si>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</si>
  <si>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</si>
  <si>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</si>
  <si>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</si>
  <si>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</si>
  <si>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</si>
  <si>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</si>
  <si>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</si>
  <si>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</si>
  <si>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</si>
  <si>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</si>
  <si>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</si>
  <si>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</si>
  <si>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</si>
  <si>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</si>
  <si>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</si>
  <si>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</si>
  <si>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</si>
  <si>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</si>
  <si>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</si>
  <si>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</si>
  <si>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</si>
  <si>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</si>
  <si>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</si>
  <si>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</si>
  <si>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</si>
  <si>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</si>
  <si>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</si>
  <si>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</si>
  <si>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</si>
  <si>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</si>
  <si>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</si>
  <si>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</si>
  <si>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</si>
  <si>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</si>
  <si>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</si>
  <si>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</si>
  <si>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</si>
  <si>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</si>
  <si>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</si>
  <si>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</si>
  <si>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</si>
  <si>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</si>
  <si>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</si>
  <si>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</si>
  <si>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</si>
  <si>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</si>
  <si>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</si>
  <si>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</si>
  <si>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</si>
  <si>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</si>
  <si>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</si>
  <si>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</si>
  <si>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</si>
  <si>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</si>
  <si>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</si>
  <si>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</si>
  <si>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</si>
  <si>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</si>
  <si>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</si>
  <si>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</si>
  <si>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</si>
  <si>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</si>
  <si>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</si>
  <si>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</si>
  <si>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</si>
  <si>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</si>
  <si>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</si>
  <si>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</si>
  <si>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</si>
  <si>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</si>
  <si>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</si>
  <si>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</si>
  <si>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</si>
  <si>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</si>
  <si>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</si>
  <si>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</si>
  <si>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</si>
  <si>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</si>
  <si>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</si>
  <si>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</si>
  <si>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</si>
  <si>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</si>
  <si>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</si>
  <si>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</si>
  <si>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</si>
  <si>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</si>
  <si>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</si>
  <si>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</si>
  <si>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</si>
  <si>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</si>
  <si>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</si>
  <si>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</si>
  <si>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</si>
  <si>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</si>
  <si>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</si>
  <si>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</si>
  <si>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</si>
  <si>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</si>
  <si>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</si>
  <si>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</si>
  <si>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</si>
  <si>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</si>
  <si>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</si>
  <si>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</si>
  <si>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</si>
  <si>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</si>
  <si>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</si>
  <si>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</si>
  <si>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</si>
  <si>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</si>
  <si>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</si>
  <si>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</si>
  <si>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</si>
  <si>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</si>
  <si>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</si>
  <si>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</si>
  <si>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</si>
  <si>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</si>
  <si>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</si>
  <si>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</si>
  <si>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</si>
  <si>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</si>
  <si>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</si>
  <si>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</si>
  <si>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</si>
  <si>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</si>
  <si>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</si>
  <si>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</si>
  <si>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</si>
  <si>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</si>
  <si>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</si>
  <si>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</si>
  <si>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</si>
  <si>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</si>
  <si>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</si>
  <si>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</si>
  <si>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</si>
  <si>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</si>
  <si>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</si>
  <si>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</si>
  <si>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</si>
  <si>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</si>
  <si>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</si>
  <si>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</si>
  <si>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</si>
  <si>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</si>
  <si>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</si>
  <si>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</si>
  <si>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</si>
  <si>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</si>
  <si>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</si>
  <si>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</si>
  <si>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</si>
  <si>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</si>
  <si>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</si>
  <si>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</si>
  <si>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</si>
  <si>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</si>
  <si>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</si>
  <si>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</si>
  <si>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</si>
  <si>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</si>
  <si>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</si>
  <si>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</si>
  <si>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</si>
  <si>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</si>
  <si>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</si>
  <si>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</si>
  <si>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</si>
  <si>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</si>
  <si>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</si>
  <si>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</si>
  <si>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</si>
  <si>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</si>
  <si>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</si>
  <si>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</si>
  <si>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</si>
  <si>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</si>
  <si>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</si>
  <si>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</si>
  <si>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</si>
  <si>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</si>
  <si>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</si>
  <si>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</si>
  <si>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</si>
  <si>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</si>
  <si>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</si>
  <si>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</si>
  <si>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</si>
  <si>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</si>
  <si>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</si>
  <si>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</si>
  <si>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</si>
  <si>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</si>
  <si>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</si>
  <si>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</si>
  <si>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</si>
  <si>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</si>
  <si>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</si>
  <si>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</si>
  <si>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</si>
  <si>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</si>
  <si>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</si>
  <si>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</si>
  <si>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</si>
  <si>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</si>
  <si>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</si>
  <si>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</si>
  <si>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</si>
  <si>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</si>
  <si>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</si>
  <si>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</si>
  <si>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</si>
  <si>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</si>
  <si>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</si>
  <si>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</si>
  <si>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</si>
  <si>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</si>
  <si>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</si>
  <si>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</si>
  <si>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</si>
  <si>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</si>
  <si>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</si>
  <si>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</si>
  <si>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</si>
  <si>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</si>
  <si>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</si>
  <si>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</si>
  <si>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</si>
  <si>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</si>
  <si>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</si>
  <si>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</si>
  <si>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</si>
  <si>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</si>
  <si>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</si>
  <si>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</si>
  <si>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</si>
  <si>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</si>
  <si>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</si>
  <si>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</si>
  <si>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</si>
  <si>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</si>
  <si>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</si>
  <si>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</si>
  <si>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</si>
  <si>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</si>
  <si>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</si>
  <si>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</si>
  <si>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</si>
  <si>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</si>
  <si>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</si>
  <si>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</si>
  <si>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</si>
  <si>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</si>
  <si>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</si>
  <si>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</si>
  <si>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</si>
  <si>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</si>
  <si>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</si>
  <si>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</si>
  <si>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</si>
  <si>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</si>
  <si>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</si>
  <si>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</si>
  <si>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</si>
  <si>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</si>
  <si>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</si>
  <si>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</si>
  <si>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</si>
  <si>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</si>
  <si>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</si>
  <si>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</si>
  <si>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</si>
  <si>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</si>
  <si>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</si>
  <si>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</si>
  <si>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</si>
  <si>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</si>
  <si>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</si>
  <si>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</si>
  <si>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</si>
  <si>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</si>
  <si>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</si>
  <si>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</si>
  <si>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</si>
  <si>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</si>
  <si>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</si>
  <si>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</si>
  <si>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</si>
  <si>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</si>
  <si>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</si>
  <si>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</si>
  <si>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</si>
  <si>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</si>
  <si>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</si>
  <si>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</si>
  <si>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</si>
  <si>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</si>
  <si>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</si>
  <si>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</si>
  <si>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</si>
  <si>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</si>
  <si>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</si>
  <si>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</si>
  <si>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</si>
  <si>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</si>
  <si>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</si>
  <si>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</si>
  <si>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</si>
  <si>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</si>
  <si>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</si>
  <si>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</si>
  <si>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</si>
  <si>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</si>
  <si>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</si>
  <si>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</si>
  <si>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</si>
  <si>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</si>
  <si>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</si>
  <si>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</si>
  <si>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</si>
  <si>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</si>
  <si>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</si>
  <si>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</si>
  <si>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</si>
  <si>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</si>
  <si>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</si>
  <si>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</si>
  <si>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</si>
  <si>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</si>
  <si>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</si>
  <si>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</si>
  <si>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</si>
  <si>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</si>
  <si>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</si>
  <si>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</si>
  <si>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</si>
  <si>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</si>
  <si>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</si>
  <si>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</si>
  <si>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</si>
  <si>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</si>
  <si>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</si>
  <si>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</si>
  <si>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</si>
  <si>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</si>
  <si>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</si>
  <si>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</si>
  <si>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</si>
  <si>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</si>
  <si>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</si>
  <si>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</si>
  <si>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</si>
  <si>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</si>
  <si>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</si>
  <si>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</si>
  <si>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</si>
  <si>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</si>
  <si>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</si>
  <si>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</si>
  <si>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</si>
  <si>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</si>
  <si>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</si>
  <si>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</si>
  <si>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</si>
  <si>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</si>
  <si>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</si>
  <si>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</si>
  <si>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</si>
  <si>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</si>
  <si>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</si>
  <si>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</si>
  <si>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</si>
  <si>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</si>
  <si>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</si>
  <si>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</si>
  <si>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</si>
  <si>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</si>
  <si>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</si>
  <si>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</si>
  <si>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</si>
  <si>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</si>
  <si>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</si>
  <si>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</si>
  <si>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</si>
  <si>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</si>
  <si>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</si>
  <si>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</si>
  <si>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</si>
  <si>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</si>
  <si>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</si>
  <si>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</si>
  <si>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</si>
  <si>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</si>
  <si>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</si>
  <si>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</si>
  <si>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</si>
  <si>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</si>
  <si>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</si>
  <si>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</si>
  <si>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</si>
  <si>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</si>
  <si>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</si>
  <si>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</si>
  <si>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</si>
  <si>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</si>
  <si>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</si>
  <si>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</si>
  <si>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</si>
  <si>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</si>
  <si>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</si>
  <si>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</si>
  <si>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</si>
  <si>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</si>
  <si>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</si>
  <si>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</si>
  <si>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</si>
  <si>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</si>
  <si>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</si>
  <si>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</si>
  <si>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</si>
  <si>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</si>
  <si>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</si>
  <si>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</si>
  <si>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</si>
  <si>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</si>
  <si>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</si>
  <si>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</si>
  <si>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</si>
  <si>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</si>
  <si>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</si>
  <si>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</si>
  <si>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</si>
  <si>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</si>
  <si>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</si>
  <si>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</si>
  <si>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</si>
  <si>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</si>
  <si>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</si>
  <si>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</si>
  <si>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</si>
  <si>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</si>
  <si>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</si>
  <si>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</si>
  <si>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</si>
  <si>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</si>
  <si>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</si>
  <si>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</si>
  <si>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</si>
  <si>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</si>
  <si>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</si>
  <si>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</si>
  <si>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</si>
  <si>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</si>
  <si>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</si>
  <si>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</si>
  <si>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</si>
  <si>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</si>
  <si>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</si>
  <si>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</si>
  <si>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</si>
  <si>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</si>
  <si>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</si>
  <si>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</si>
  <si>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</si>
  <si>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</si>
  <si>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</si>
  <si>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</si>
  <si>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</si>
  <si>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</si>
  <si>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</si>
  <si>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</si>
  <si>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</si>
  <si>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</si>
  <si>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</si>
  <si>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</si>
  <si>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</si>
  <si>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</si>
  <si>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</si>
  <si>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</si>
  <si>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</si>
  <si>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</si>
  <si>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</si>
  <si>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</si>
  <si>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</si>
  <si>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</si>
  <si>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</si>
  <si>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</si>
  <si>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</si>
  <si>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</si>
  <si>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</si>
  <si>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</si>
  <si>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</si>
  <si>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</si>
  <si>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</si>
  <si>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</si>
  <si>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</si>
  <si>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</si>
  <si>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</si>
  <si>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</si>
  <si>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</si>
  <si>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</si>
  <si>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</si>
  <si>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</si>
  <si>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</si>
  <si>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</si>
  <si>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</si>
  <si>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</si>
  <si>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</si>
  <si>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</si>
  <si>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</si>
  <si>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</si>
  <si>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</si>
  <si>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</si>
  <si>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</si>
  <si>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</si>
  <si>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</si>
  <si>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</si>
  <si>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</si>
  <si>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</si>
  <si>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</si>
  <si>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</si>
  <si>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</si>
  <si>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</si>
  <si>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</si>
  <si>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</si>
  <si>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</si>
  <si>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</si>
  <si>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</si>
  <si>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</si>
  <si>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</si>
  <si>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</si>
  <si>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</si>
  <si>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</si>
  <si>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</si>
  <si>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</si>
  <si>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</si>
  <si>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</si>
  <si>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</si>
  <si>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</si>
  <si>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</si>
  <si>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</si>
  <si>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</si>
  <si>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</si>
  <si>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</si>
  <si>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</si>
  <si>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</si>
  <si>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</si>
  <si>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</si>
  <si>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</si>
  <si>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</si>
  <si>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</si>
  <si>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</si>
  <si>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</si>
  <si>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</si>
  <si>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</si>
  <si>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</si>
  <si>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</si>
  <si>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</si>
  <si>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</si>
  <si>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</si>
  <si>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</si>
  <si>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</si>
  <si>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</si>
  <si>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</si>
  <si>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</si>
  <si>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</si>
  <si>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</si>
  <si>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</si>
  <si>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</si>
  <si>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</si>
  <si>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</si>
  <si>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</si>
  <si>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</si>
  <si>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</si>
  <si>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</si>
  <si>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</si>
  <si>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</si>
  <si>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</si>
  <si>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</si>
  <si>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</si>
  <si>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</si>
  <si>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</si>
  <si>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</si>
  <si>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</si>
  <si>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</si>
  <si>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</si>
  <si>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</si>
  <si>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</si>
  <si>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</si>
  <si>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</si>
  <si>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</si>
  <si>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</si>
  <si>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</si>
  <si>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</si>
  <si>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</si>
  <si>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</si>
  <si>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</si>
  <si>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</si>
  <si>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</si>
  <si>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</si>
  <si>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</si>
  <si>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</si>
  <si>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</si>
  <si>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</si>
  <si>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</si>
  <si>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</si>
  <si>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</si>
  <si>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</si>
  <si>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</si>
  <si>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</si>
  <si>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</si>
  <si>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</si>
  <si>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</si>
  <si>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</si>
  <si>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</si>
  <si>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</si>
  <si>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</si>
  <si>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</si>
  <si>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</si>
  <si>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</si>
  <si>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</si>
  <si>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</si>
  <si>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</si>
  <si>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</si>
  <si>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</si>
  <si>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</si>
  <si>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</si>
  <si>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</si>
  <si>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</si>
  <si>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</si>
  <si>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</si>
  <si>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</si>
  <si>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</si>
  <si>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</si>
  <si>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</si>
  <si>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</si>
  <si>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</si>
  <si>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</si>
  <si>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</si>
  <si>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</si>
  <si>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</si>
  <si>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</si>
  <si>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</si>
  <si>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</si>
  <si>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</si>
  <si>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</si>
  <si>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</si>
  <si>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</si>
  <si>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</si>
  <si>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</si>
  <si>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</si>
  <si>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</si>
  <si>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</si>
  <si>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</si>
  <si>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</si>
  <si>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</si>
  <si>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</si>
  <si>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</si>
  <si>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</si>
  <si>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</si>
  <si>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</si>
  <si>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</si>
  <si>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</si>
  <si>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</si>
  <si>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</si>
  <si>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</si>
  <si>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</si>
  <si>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</si>
  <si>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</si>
  <si>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</si>
  <si>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</si>
  <si>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</si>
  <si>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</si>
  <si>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</si>
  <si>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</si>
  <si>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</si>
  <si>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</si>
  <si>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</si>
  <si>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</si>
  <si>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</si>
  <si>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</si>
  <si>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</si>
  <si>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</si>
  <si>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</si>
  <si>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</si>
  <si>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</si>
  <si>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</si>
  <si>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</si>
  <si>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</si>
  <si>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</si>
  <si>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</si>
  <si>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</si>
  <si>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</si>
  <si>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</si>
  <si>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</si>
  <si>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</si>
  <si>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</si>
  <si>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</si>
  <si>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</si>
  <si>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</si>
  <si>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</si>
  <si>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</si>
  <si>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</si>
  <si>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</si>
  <si>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</si>
  <si>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</si>
  <si>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</si>
  <si>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</si>
  <si>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</si>
  <si>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</si>
  <si>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</si>
  <si>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</si>
  <si>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</si>
  <si>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</si>
  <si>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</si>
  <si>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</si>
  <si>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</si>
  <si>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</si>
  <si>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</si>
  <si>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</si>
  <si>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</si>
  <si>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</si>
  <si>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</si>
  <si>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</si>
  <si>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</si>
  <si>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</si>
  <si>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</si>
  <si>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</si>
  <si>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</si>
  <si>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</si>
  <si>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</si>
  <si>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</si>
  <si>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</si>
  <si>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</si>
  <si>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</si>
  <si>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</si>
  <si>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</si>
  <si>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</si>
  <si>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</si>
  <si>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</si>
  <si>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</si>
  <si>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</si>
  <si>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</si>
  <si>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</si>
  <si>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</si>
  <si>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</si>
  <si>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</si>
  <si>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</si>
  <si>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</si>
  <si>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</si>
  <si>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</si>
  <si>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</si>
  <si>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</si>
  <si>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</si>
  <si>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</si>
  <si>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</si>
  <si>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</si>
  <si>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</si>
  <si>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</si>
  <si>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</si>
  <si>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</si>
  <si>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</si>
  <si>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</si>
  <si>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</si>
  <si>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</si>
  <si>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</si>
  <si>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</si>
  <si>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</si>
  <si>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</si>
  <si>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</si>
  <si>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</si>
  <si>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</si>
  <si>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</si>
  <si>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</si>
  <si>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</si>
  <si>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</si>
  <si>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</si>
  <si>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</si>
  <si>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</si>
  <si>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</si>
  <si>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</si>
  <si>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</si>
  <si>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</si>
  <si>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</si>
  <si>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</si>
  <si>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</si>
  <si>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</si>
  <si>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</si>
  <si>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</si>
  <si>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</si>
  <si>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</si>
  <si>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</si>
  <si>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</si>
  <si>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</si>
  <si>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</si>
  <si>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</si>
  <si>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</si>
  <si>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</si>
  <si>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</si>
  <si>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</si>
  <si>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</si>
  <si>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</si>
  <si>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</si>
  <si>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</si>
  <si>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</si>
  <si>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</si>
  <si>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</si>
  <si>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</si>
  <si>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</si>
  <si>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</si>
  <si>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</si>
  <si>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</si>
  <si>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</si>
  <si>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</si>
  <si>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</si>
  <si>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</si>
  <si>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</si>
  <si>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</si>
  <si>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</si>
  <si>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</si>
  <si>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</si>
  <si>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</si>
  <si>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</si>
  <si>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</si>
  <si>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</si>
  <si>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</si>
  <si>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</si>
  <si>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</si>
  <si>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</si>
  <si>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</si>
  <si>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</si>
  <si>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</si>
  <si>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</si>
  <si>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</si>
  <si>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</si>
  <si>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</si>
  <si>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</si>
  <si>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</si>
  <si>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</si>
  <si>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</si>
  <si>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</si>
  <si>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</si>
  <si>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</si>
  <si>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</si>
  <si>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</si>
  <si>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</si>
  <si>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</si>
  <si>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</si>
  <si>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</si>
  <si>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</si>
  <si>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</si>
  <si>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</si>
  <si>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</si>
  <si>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</si>
  <si>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</si>
  <si>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</si>
  <si>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</si>
  <si>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</si>
  <si>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</si>
  <si>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</si>
  <si>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</si>
  <si>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</si>
  <si>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</si>
  <si>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</si>
  <si>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</si>
  <si>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</si>
  <si>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</si>
  <si>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</si>
  <si>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</si>
  <si>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</si>
  <si>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</si>
  <si>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</si>
  <si>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</si>
  <si>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</si>
  <si>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</si>
  <si>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</si>
  <si>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</si>
  <si>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</si>
  <si>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</si>
  <si>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</si>
  <si>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</si>
  <si>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</si>
  <si>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</si>
  <si>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</si>
  <si>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</si>
  <si>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</si>
  <si>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</si>
  <si>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</si>
  <si>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</si>
  <si>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</si>
  <si>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</si>
  <si>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</si>
  <si>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</si>
  <si>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</si>
  <si>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</si>
  <si>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</si>
  <si>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</si>
  <si>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</si>
  <si>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</si>
  <si>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</si>
  <si>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</si>
  <si>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</si>
  <si>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</si>
  <si>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</si>
  <si>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</si>
  <si>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</si>
  <si>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</si>
  <si>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</si>
  <si>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</si>
  <si>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</si>
  <si>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</si>
  <si>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</si>
  <si>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</si>
  <si>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</si>
  <si>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</si>
  <si>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</si>
  <si>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</si>
  <si>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</si>
  <si>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</si>
  <si>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</si>
  <si>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</si>
  <si>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</si>
  <si>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</si>
  <si>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</si>
  <si>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</si>
  <si>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</si>
  <si>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</si>
  <si>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</si>
  <si>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</si>
  <si>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</si>
  <si>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</si>
  <si>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</si>
  <si>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</si>
  <si>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</si>
  <si>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</si>
  <si>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</si>
  <si>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</si>
  <si>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</si>
  <si>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</si>
  <si>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</si>
  <si>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</si>
  <si>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</si>
  <si>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</si>
  <si>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</si>
  <si>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</si>
  <si>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</si>
  <si>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</si>
  <si>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</si>
  <si>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</si>
  <si>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</si>
  <si>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</si>
  <si>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</si>
  <si>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</si>
  <si>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</si>
  <si>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</si>
  <si>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</si>
  <si>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</si>
  <si>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</si>
  <si>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</si>
  <si>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</si>
  <si>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</si>
  <si>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</si>
  <si>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</si>
  <si>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</si>
  <si>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</si>
  <si>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</si>
  <si>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</si>
  <si>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</si>
  <si>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</si>
  <si>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</si>
  <si>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</si>
  <si>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</si>
  <si>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</si>
  <si>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</si>
  <si>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</si>
  <si>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</si>
  <si>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</si>
  <si>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</si>
  <si>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</si>
  <si>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</si>
  <si>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</si>
  <si>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</si>
  <si>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</si>
  <si>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</si>
  <si>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</si>
  <si>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</si>
  <si>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</si>
  <si>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</si>
  <si>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</si>
  <si>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</si>
  <si>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</si>
  <si>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</si>
  <si>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</si>
  <si>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</si>
  <si>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</si>
  <si>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</si>
  <si>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</si>
  <si>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</si>
  <si>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</si>
  <si>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</si>
  <si>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</si>
  <si>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</si>
  <si>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</si>
  <si>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</si>
  <si>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</si>
  <si>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</si>
  <si>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</si>
  <si>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</si>
  <si>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</si>
  <si>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</si>
  <si>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</si>
  <si>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</si>
  <si>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</si>
  <si>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</si>
  <si>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</si>
  <si>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</si>
  <si>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</si>
  <si>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</si>
  <si>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</si>
  <si>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</si>
  <si>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</si>
  <si>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</si>
  <si>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</si>
  <si>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</si>
  <si>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</si>
  <si>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</si>
  <si>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</si>
  <si>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</si>
  <si>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</si>
  <si>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</si>
  <si>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</si>
  <si>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</si>
  <si>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</si>
  <si>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</si>
  <si>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</si>
  <si>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</si>
  <si>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</si>
  <si>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</si>
  <si>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</si>
  <si>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</si>
  <si>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</si>
  <si>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</si>
  <si>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</si>
  <si>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</si>
  <si>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</si>
  <si>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</si>
  <si>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</si>
  <si>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</si>
  <si>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</si>
  <si>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</si>
  <si>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</si>
  <si>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</si>
  <si>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</si>
  <si>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</si>
  <si>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</si>
  <si>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</si>
  <si>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</si>
  <si>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</si>
  <si>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</si>
  <si>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</si>
  <si>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</si>
  <si>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</si>
  <si>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</si>
  <si>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</si>
  <si>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</si>
  <si>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</si>
  <si>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</si>
  <si>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</si>
  <si>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</si>
  <si>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</si>
  <si>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</si>
  <si>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</si>
  <si>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</si>
  <si>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</si>
  <si>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</si>
  <si>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</si>
  <si>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</si>
  <si>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</si>
  <si>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</si>
  <si>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</si>
  <si>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</si>
  <si>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</si>
  <si>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</si>
  <si>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</si>
  <si>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</si>
  <si>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</si>
  <si>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</si>
  <si>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</si>
  <si>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</si>
  <si>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</si>
  <si>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</si>
  <si>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</si>
  <si>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</si>
  <si>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</si>
  <si>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</si>
  <si>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</si>
  <si>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</si>
  <si>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</si>
  <si>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</si>
  <si>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</si>
  <si>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</si>
  <si>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</si>
  <si>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</si>
  <si>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</si>
  <si>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</si>
  <si>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</si>
  <si>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</si>
  <si>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</si>
  <si>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</si>
  <si>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</si>
  <si>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</si>
  <si>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</si>
  <si>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</si>
  <si>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</si>
  <si>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</si>
  <si>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</si>
  <si>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</si>
  <si>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</si>
  <si>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</si>
  <si>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</si>
  <si>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</si>
  <si>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</si>
  <si>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</si>
  <si>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</si>
  <si>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</si>
  <si>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</si>
  <si>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</si>
  <si>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</si>
  <si>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</si>
  <si>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</si>
  <si>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</si>
  <si>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</si>
  <si>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</si>
  <si>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</si>
  <si>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</si>
  <si>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</si>
  <si>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</si>
  <si>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</si>
  <si>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</si>
  <si>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</si>
  <si>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</si>
  <si>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</si>
  <si>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</si>
  <si>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</si>
  <si>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</si>
  <si>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</si>
  <si>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</si>
  <si>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</si>
  <si>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</si>
  <si>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</si>
  <si>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</si>
  <si>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</si>
  <si>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</si>
  <si>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</si>
  <si>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</si>
  <si>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</si>
  <si>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</si>
  <si>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</si>
  <si>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</si>
  <si>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</si>
  <si>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</si>
  <si>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</si>
  <si>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</si>
  <si>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</si>
  <si>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</si>
  <si>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</si>
  <si>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</si>
  <si>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</si>
  <si>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</si>
  <si>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</si>
  <si>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</si>
  <si>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</si>
  <si>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</si>
  <si>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</si>
  <si>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</si>
  <si>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</si>
  <si>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</si>
  <si>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</si>
  <si>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</si>
  <si>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</si>
  <si>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</si>
  <si>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</si>
  <si>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</si>
  <si>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</si>
  <si>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</si>
  <si>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</si>
  <si>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</si>
  <si>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</si>
  <si>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</si>
  <si>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</si>
  <si>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</si>
  <si>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</si>
  <si>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</si>
  <si>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</si>
  <si>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</si>
  <si>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</si>
  <si>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</si>
  <si>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</si>
  <si>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</si>
  <si>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</si>
  <si>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</si>
  <si>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</si>
  <si>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</si>
  <si>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</si>
  <si>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</si>
  <si>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</si>
  <si>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</si>
  <si>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</si>
  <si>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</si>
  <si>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</si>
  <si>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</si>
  <si>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</si>
  <si>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</si>
  <si>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</si>
  <si>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</si>
  <si>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</si>
  <si>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</si>
  <si>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</si>
  <si>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</si>
  <si>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</si>
  <si>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</si>
  <si>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</si>
  <si>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</si>
  <si>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</si>
  <si>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</si>
  <si>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</si>
  <si>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</si>
  <si>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</si>
  <si>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</si>
  <si>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</si>
  <si>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</si>
  <si>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</si>
  <si>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</si>
  <si>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</si>
  <si>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</si>
  <si>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</si>
  <si>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</si>
  <si>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</si>
  <si>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</si>
  <si>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</si>
  <si>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</si>
  <si>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</si>
  <si>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</si>
  <si>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</si>
  <si>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</si>
  <si>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</si>
  <si>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</si>
  <si>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</si>
  <si>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</si>
  <si>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</si>
  <si>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</si>
  <si>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</si>
  <si>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</si>
  <si>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</si>
  <si>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</si>
  <si>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</si>
  <si>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</si>
  <si>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</si>
  <si>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</si>
  <si>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</si>
  <si>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</si>
  <si>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</si>
  <si>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</si>
  <si>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</si>
  <si>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</si>
  <si>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</si>
  <si>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</si>
  <si>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</si>
  <si>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</si>
  <si>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</si>
  <si>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</si>
  <si>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</si>
  <si>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</si>
  <si>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</si>
  <si>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</si>
  <si>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</si>
  <si>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</si>
  <si>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</si>
  <si>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</si>
  <si>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</si>
  <si>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</si>
  <si>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</si>
  <si>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</si>
  <si>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</si>
  <si>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</si>
  <si>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</si>
  <si>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</si>
  <si>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</si>
  <si>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</si>
  <si>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</si>
  <si>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</si>
  <si>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</si>
  <si>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</si>
  <si>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</si>
  <si>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</si>
  <si>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</si>
  <si>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</si>
  <si>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</si>
  <si>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</si>
  <si>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</si>
  <si>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</si>
  <si>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</si>
  <si>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</si>
  <si>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</si>
  <si>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</si>
  <si>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</si>
  <si>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</si>
  <si>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</si>
  <si>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</si>
  <si>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</si>
  <si>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</si>
  <si>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</si>
  <si>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</si>
  <si>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</si>
  <si>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</si>
  <si>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</si>
  <si>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</si>
  <si>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</si>
  <si>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</si>
  <si>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</si>
  <si>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</si>
  <si>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</si>
  <si>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</si>
  <si>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</si>
  <si>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</si>
  <si>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</si>
  <si>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</si>
  <si>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</si>
  <si>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</si>
  <si>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</si>
  <si>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</si>
  <si>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</si>
  <si>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</si>
  <si>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</si>
  <si>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</si>
  <si>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</si>
  <si>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</si>
  <si>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</si>
  <si>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</si>
  <si>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</si>
  <si>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</si>
  <si>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</si>
  <si>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</si>
  <si>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</si>
  <si>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</si>
  <si>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</si>
  <si>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</si>
  <si>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</si>
  <si>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</si>
  <si>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</si>
  <si>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</si>
  <si>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</si>
  <si>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</si>
  <si>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</si>
  <si>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</si>
  <si>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</si>
  <si>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</si>
  <si>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</si>
  <si>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</si>
  <si>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</si>
  <si>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</si>
  <si>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</si>
  <si>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</si>
  <si>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</si>
  <si>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</si>
  <si>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</si>
  <si>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</si>
  <si>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</si>
  <si>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</si>
  <si>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</si>
  <si>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</si>
  <si>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</si>
  <si>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</si>
  <si>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</si>
  <si>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</si>
  <si>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</si>
  <si>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</si>
  <si>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</si>
  <si>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</si>
  <si>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</si>
  <si>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</si>
  <si>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</si>
  <si>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</si>
  <si>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</si>
  <si>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</si>
  <si>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</si>
  <si>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</si>
  <si>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</si>
  <si>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</si>
  <si>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</si>
  <si>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</si>
  <si>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</si>
  <si>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</si>
  <si>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</si>
  <si>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</si>
  <si>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</si>
  <si>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</si>
  <si>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</si>
  <si>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</si>
  <si>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</si>
  <si>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</si>
  <si>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</si>
  <si>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</si>
  <si>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</si>
  <si>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</si>
  <si>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</si>
  <si>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</si>
  <si>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</si>
  <si>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</si>
  <si>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</si>
  <si>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</si>
  <si>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</si>
  <si>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</si>
  <si>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</si>
  <si>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</si>
  <si>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</si>
  <si>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</si>
  <si>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</si>
  <si>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</si>
  <si>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</si>
  <si>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</si>
  <si>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</si>
  <si>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</si>
  <si>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</si>
  <si>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</si>
  <si>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</si>
  <si>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</si>
  <si>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</si>
  <si>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</si>
  <si>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</si>
  <si>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</si>
  <si>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</si>
  <si>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</si>
  <si>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</si>
  <si>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</si>
  <si>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</si>
  <si>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</si>
  <si>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</si>
  <si>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</si>
  <si>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</si>
  <si>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</si>
  <si>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</si>
  <si>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</si>
  <si>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</si>
  <si>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</si>
  <si>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</si>
  <si>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</si>
  <si>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</si>
  <si>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</si>
  <si>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</si>
  <si>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</si>
  <si>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</si>
  <si>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</si>
  <si>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</si>
  <si>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</si>
  <si>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</si>
  <si>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</si>
  <si>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</si>
  <si>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</si>
  <si>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</si>
  <si>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</si>
  <si>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</si>
  <si>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</si>
  <si>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</si>
  <si>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</si>
  <si>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</si>
  <si>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</si>
  <si>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</si>
  <si>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</si>
  <si>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</si>
  <si>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</si>
  <si>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</si>
  <si>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</si>
  <si>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</si>
  <si>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</si>
  <si>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</si>
  <si>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</si>
  <si>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</si>
  <si>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</si>
  <si>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</si>
  <si>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</si>
  <si>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</si>
  <si>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</si>
  <si>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</si>
  <si>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</si>
  <si>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</si>
  <si>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</si>
  <si>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</si>
  <si>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</si>
  <si>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</si>
  <si>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</si>
  <si>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</si>
  <si>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</si>
  <si>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</si>
  <si>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</si>
  <si>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</si>
  <si>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</si>
  <si>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</si>
  <si>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</si>
  <si>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</si>
  <si>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</si>
  <si>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</si>
  <si>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</si>
  <si>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</si>
  <si>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</si>
  <si>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</si>
  <si>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</si>
  <si>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</si>
  <si>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</si>
  <si>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</si>
  <si>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</si>
  <si>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</si>
  <si>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</si>
  <si>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</si>
  <si>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</si>
  <si>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</si>
  <si>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</si>
  <si>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</si>
  <si>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</si>
  <si>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</si>
  <si>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</si>
  <si>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</si>
  <si>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</si>
  <si>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</si>
  <si>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</si>
  <si>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</si>
  <si>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</si>
  <si>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</si>
  <si>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</si>
  <si>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</si>
  <si>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</si>
  <si>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</si>
  <si>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</si>
  <si>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</si>
  <si>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</si>
  <si>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</si>
  <si>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</si>
  <si>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</si>
  <si>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</si>
  <si>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</si>
  <si>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</si>
  <si>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</si>
  <si>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</si>
  <si>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</si>
  <si>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</si>
  <si>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</si>
  <si>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</si>
  <si>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</si>
  <si>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</si>
  <si>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</si>
  <si>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</si>
  <si>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</si>
  <si>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</si>
  <si>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</si>
  <si>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</si>
  <si>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</si>
  <si>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</si>
  <si>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</si>
  <si>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</si>
  <si>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</si>
  <si>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</si>
  <si>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</si>
  <si>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</si>
  <si>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</si>
  <si>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</si>
  <si>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</si>
  <si>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</si>
  <si>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</si>
  <si>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</si>
  <si>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</si>
  <si>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</si>
  <si>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</si>
  <si>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</si>
  <si>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</si>
  <si>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</si>
  <si>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</si>
  <si>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</si>
  <si>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</si>
  <si>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</si>
  <si>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</si>
  <si>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</si>
  <si>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</si>
  <si>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</si>
  <si>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</si>
  <si>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</si>
  <si>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</si>
  <si>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</si>
  <si>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</si>
  <si>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</si>
  <si>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</si>
  <si>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</si>
  <si>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</si>
  <si>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</si>
  <si>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</si>
  <si>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</si>
  <si>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</si>
  <si>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</si>
  <si>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</si>
  <si>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</si>
  <si>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</si>
  <si>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</si>
  <si>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</si>
  <si>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</si>
  <si>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</si>
  <si>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</si>
  <si>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</si>
  <si>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</si>
  <si>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</si>
  <si>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</si>
  <si>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</si>
  <si>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</si>
  <si>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</si>
  <si>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</si>
  <si>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</si>
  <si>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</si>
  <si>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</si>
  <si>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</si>
  <si>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</si>
  <si>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</si>
  <si>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</si>
  <si>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</si>
  <si>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</si>
  <si>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</si>
  <si>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</si>
  <si>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</si>
  <si>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</si>
  <si>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</si>
  <si>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</si>
  <si>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</si>
  <si>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</si>
  <si>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</si>
  <si>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</si>
  <si>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</si>
  <si>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</si>
  <si>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</si>
  <si>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</si>
  <si>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</si>
  <si>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</si>
  <si>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</si>
  <si>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</si>
  <si>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</si>
  <si>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</si>
  <si>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</si>
  <si>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</si>
  <si>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</si>
  <si>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</si>
  <si>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</si>
  <si>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</si>
  <si>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</si>
  <si>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</si>
  <si>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</si>
  <si>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</si>
  <si>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</si>
  <si>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</si>
  <si>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</si>
  <si>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</si>
  <si>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</si>
  <si>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</si>
  <si>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</si>
  <si>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</si>
  <si>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</si>
  <si>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</si>
  <si>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</si>
  <si>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</si>
  <si>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</si>
  <si>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</si>
  <si>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</si>
  <si>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</si>
  <si>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</si>
  <si>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</si>
  <si>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</si>
  <si>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</si>
  <si>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</si>
  <si>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</si>
  <si>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</si>
  <si>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</si>
  <si>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</si>
  <si>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</si>
  <si>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</si>
  <si>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</si>
  <si>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</si>
  <si>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</si>
  <si>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</si>
  <si>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</si>
  <si>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</si>
  <si>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</si>
  <si>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</si>
  <si>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</si>
  <si>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</si>
  <si>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</si>
  <si>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</si>
  <si>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</si>
  <si>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</si>
  <si>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</si>
  <si>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</si>
  <si>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</si>
  <si>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</si>
  <si>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</si>
  <si>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</si>
  <si>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</si>
  <si>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</si>
  <si>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</si>
  <si>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</si>
  <si>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</si>
  <si>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</si>
  <si>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</si>
  <si>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</si>
  <si>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</si>
  <si>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</si>
  <si>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</si>
  <si>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</si>
  <si>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</si>
  <si>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</si>
  <si>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</si>
  <si>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</si>
  <si>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</si>
  <si>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</si>
  <si>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</si>
  <si>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</si>
  <si>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</si>
  <si>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</si>
  <si>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</si>
  <si>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</si>
  <si>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</si>
  <si>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</si>
  <si>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</si>
  <si>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</si>
  <si>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</si>
  <si>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</si>
  <si>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</si>
  <si>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</si>
  <si>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</si>
  <si>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</si>
  <si>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</si>
  <si>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</si>
  <si>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</si>
  <si>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</si>
  <si>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</si>
  <si>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</si>
  <si>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</si>
  <si>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</si>
  <si>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</si>
  <si>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</si>
  <si>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</si>
  <si>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</si>
  <si>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</si>
  <si>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</si>
  <si>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</si>
  <si>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</si>
  <si>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</si>
  <si>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</si>
  <si>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</si>
  <si>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</si>
  <si>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</si>
  <si>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</si>
  <si>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</si>
  <si>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</si>
  <si>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</si>
  <si>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</si>
  <si>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</si>
  <si>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</si>
  <si>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</si>
  <si>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</si>
  <si>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</si>
  <si>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</si>
  <si>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</si>
  <si>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</si>
  <si>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</si>
  <si>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</si>
  <si>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</si>
  <si>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</si>
  <si>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</si>
  <si>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</si>
  <si>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</si>
  <si>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</si>
  <si>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</si>
  <si>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</si>
  <si>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</si>
  <si>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</si>
  <si>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</si>
  <si>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</si>
  <si>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</si>
  <si>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</si>
  <si>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</si>
  <si>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</si>
  <si>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</si>
  <si>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</si>
  <si>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</si>
  <si>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</si>
  <si>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</si>
  <si>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</si>
  <si>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</si>
  <si>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</si>
  <si>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</si>
  <si>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</si>
  <si>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</si>
  <si>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</si>
  <si>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</si>
  <si>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</si>
  <si>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</si>
  <si>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</si>
  <si>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</si>
  <si>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</si>
  <si>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</si>
  <si>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</si>
  <si>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</si>
  <si>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</si>
  <si>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</si>
  <si>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</si>
  <si>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</si>
  <si>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</si>
  <si>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</si>
  <si>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</si>
  <si>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</si>
  <si>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</si>
  <si>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</si>
  <si>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</si>
  <si>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</si>
  <si>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</si>
  <si>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</si>
  <si>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</si>
  <si>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</si>
  <si>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</si>
  <si>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</si>
  <si>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</si>
  <si>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</si>
  <si>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</si>
  <si>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</si>
  <si>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</si>
  <si>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</si>
  <si>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</si>
  <si>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</si>
  <si>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</si>
  <si>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</si>
  <si>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</si>
  <si>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</si>
  <si>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</si>
  <si>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</si>
  <si>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</si>
  <si>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</si>
  <si>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</si>
  <si>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</si>
  <si>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</si>
  <si>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</si>
  <si>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</si>
  <si>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</si>
  <si>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</si>
  <si>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</si>
  <si>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</si>
  <si>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</si>
  <si>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</si>
  <si>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</si>
  <si>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</si>
  <si>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</si>
  <si>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</si>
  <si>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</si>
  <si>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</si>
  <si>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</si>
  <si>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</si>
  <si>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</si>
  <si>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</si>
  <si>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</si>
  <si>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</si>
  <si>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</si>
  <si>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</si>
  <si>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</si>
  <si>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</si>
  <si>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</si>
  <si>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</si>
  <si>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</si>
  <si>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</si>
  <si>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</si>
  <si>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</si>
  <si>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</si>
  <si>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</si>
  <si>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</si>
  <si>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</si>
  <si>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</si>
  <si>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</si>
  <si>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</si>
  <si>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</si>
  <si>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</si>
  <si>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</si>
  <si>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</si>
  <si>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</si>
  <si>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</si>
  <si>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</si>
  <si>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</si>
  <si>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</si>
  <si>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</si>
  <si>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</si>
  <si>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</si>
  <si>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</si>
  <si>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</si>
  <si>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</si>
  <si>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</si>
  <si>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</si>
  <si>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</si>
  <si>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</si>
  <si>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</si>
  <si>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</si>
  <si>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</si>
  <si>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</si>
  <si>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</si>
  <si>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</si>
  <si>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</si>
  <si>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</si>
  <si>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</si>
  <si>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</si>
  <si>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</si>
  <si>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</si>
  <si>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</si>
  <si>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</si>
  <si>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</si>
  <si>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</si>
  <si>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</si>
  <si>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</si>
  <si>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</si>
  <si>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</si>
  <si>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</si>
  <si>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</si>
  <si>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</si>
  <si>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</si>
  <si>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</si>
  <si>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</si>
  <si>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</si>
  <si>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</si>
  <si>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</si>
  <si>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</si>
  <si>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</si>
  <si>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</si>
  <si>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</si>
  <si>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</si>
  <si>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</si>
  <si>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</si>
  <si>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</si>
  <si>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</si>
  <si>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</si>
  <si>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</si>
  <si>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</si>
  <si>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</si>
  <si>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</si>
  <si>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</si>
  <si>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</si>
  <si>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</si>
  <si>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</si>
  <si>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</si>
  <si>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</si>
  <si>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</si>
  <si>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</si>
  <si>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</si>
  <si>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</si>
  <si>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</si>
  <si>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</si>
  <si>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</si>
  <si>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</si>
  <si>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</si>
  <si>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</si>
  <si>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</si>
  <si>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</si>
  <si>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</si>
  <si>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</si>
  <si>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</si>
  <si>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</si>
  <si>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</si>
  <si>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</si>
  <si>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</si>
  <si>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</si>
  <si>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</si>
  <si>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</si>
  <si>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</si>
  <si>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</si>
  <si>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</si>
  <si>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</si>
  <si>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</si>
  <si>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</si>
  <si>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</si>
  <si>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</si>
  <si>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</si>
  <si>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</si>
  <si>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</si>
  <si>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</si>
  <si>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</si>
  <si>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</si>
  <si>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</si>
  <si>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</si>
  <si>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</si>
  <si>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</si>
  <si>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</si>
  <si>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</si>
  <si>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</si>
  <si>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</si>
  <si>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</si>
  <si>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</si>
  <si>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</si>
  <si>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</si>
  <si>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</si>
  <si>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</si>
  <si>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</si>
  <si>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</si>
  <si>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</si>
  <si>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</si>
  <si>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</si>
  <si>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</si>
  <si>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</si>
  <si>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</si>
  <si>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</si>
  <si>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</si>
  <si>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</si>
  <si>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</si>
  <si>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</si>
  <si>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</si>
  <si>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</si>
  <si>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</si>
  <si>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</si>
  <si>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</si>
  <si>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</si>
  <si>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</si>
  <si>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</si>
  <si>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</si>
  <si>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</si>
  <si>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</si>
  <si>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</si>
  <si>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</si>
  <si>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</si>
  <si>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</si>
  <si>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</si>
  <si>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</si>
  <si>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</si>
  <si>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</si>
  <si>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</si>
  <si>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</si>
  <si>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</si>
  <si>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</si>
  <si>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</si>
  <si>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</si>
  <si>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</si>
  <si>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</si>
  <si>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</si>
  <si>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</si>
  <si>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</si>
  <si>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</si>
  <si>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</si>
  <si>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</si>
  <si>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</si>
  <si>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</si>
  <si>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</si>
  <si>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</si>
  <si>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</si>
  <si>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</si>
  <si>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</si>
  <si>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</si>
  <si>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</si>
  <si>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</si>
  <si>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</si>
  <si>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</si>
  <si>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</si>
  <si>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</si>
  <si>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</si>
  <si>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</si>
  <si>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</si>
  <si>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</si>
  <si>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</si>
  <si>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</si>
  <si>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</si>
  <si>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</si>
  <si>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</si>
  <si>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</si>
  <si>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</si>
  <si>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</si>
  <si>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</si>
  <si>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</si>
  <si>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</si>
  <si>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</si>
  <si>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</si>
  <si>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</si>
  <si>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</si>
  <si>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</si>
  <si>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</si>
  <si>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</si>
  <si>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</si>
  <si>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</si>
  <si>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</si>
  <si>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</si>
  <si>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</si>
  <si>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</si>
  <si>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</si>
  <si>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</si>
  <si>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</si>
  <si>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</si>
  <si>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</si>
  <si>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</si>
  <si>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</si>
  <si>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</si>
  <si>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</si>
  <si>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</si>
  <si>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</si>
  <si>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</si>
  <si>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</si>
  <si>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</si>
  <si>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</si>
  <si>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</si>
  <si>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</si>
  <si>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</si>
  <si>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</si>
  <si>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</si>
  <si>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</si>
  <si>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</si>
  <si>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</si>
  <si>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</si>
  <si>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</si>
  <si>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</si>
  <si>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</si>
  <si>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</si>
  <si>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</si>
  <si>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</si>
  <si>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</si>
  <si>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</si>
  <si>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</si>
  <si>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</si>
  <si>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</si>
  <si>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</si>
  <si>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</si>
  <si>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</si>
  <si>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</si>
  <si>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</si>
  <si>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</si>
  <si>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</si>
  <si>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</si>
  <si>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</si>
  <si>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</si>
  <si>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</si>
  <si>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</si>
  <si>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</si>
  <si>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</si>
  <si>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</si>
  <si>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</si>
  <si>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</si>
  <si>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</si>
  <si>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</si>
  <si>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</si>
  <si>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</si>
  <si>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</si>
  <si>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</si>
  <si>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</si>
  <si>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</si>
  <si>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</si>
  <si>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</si>
  <si>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</si>
  <si>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</si>
  <si>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</si>
  <si>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</si>
  <si>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</si>
  <si>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</si>
  <si>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</si>
  <si>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</si>
  <si>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</si>
  <si>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</si>
  <si>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</si>
  <si>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</si>
  <si>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</si>
  <si>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</si>
  <si>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</si>
  <si>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</si>
  <si>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</si>
  <si>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</si>
  <si>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</si>
  <si>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</si>
  <si>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</si>
  <si>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</si>
  <si>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</si>
  <si>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</si>
  <si>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</si>
  <si>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</si>
  <si>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</si>
  <si>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</si>
  <si>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</si>
  <si>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</si>
  <si>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</si>
  <si>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</si>
  <si>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</si>
  <si>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</si>
  <si>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</si>
  <si>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</si>
  <si>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</si>
  <si>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</si>
  <si>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</si>
  <si>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</si>
  <si>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</si>
  <si>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</si>
  <si>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</si>
  <si>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</si>
  <si>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</si>
  <si>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</si>
  <si>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</si>
  <si>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</si>
  <si>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</si>
  <si>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</si>
  <si>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</si>
  <si>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</si>
  <si>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</si>
  <si>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</si>
  <si>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</si>
  <si>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</si>
  <si>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</si>
  <si>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</si>
  <si>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</si>
  <si>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</si>
  <si>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</si>
  <si>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</si>
  <si>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</si>
  <si>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</si>
  <si>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</si>
  <si>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</si>
  <si>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</si>
  <si>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</si>
  <si>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</si>
  <si>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</si>
  <si>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</si>
  <si>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</si>
  <si>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</si>
  <si>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</si>
  <si>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</si>
  <si>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</si>
  <si>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</si>
  <si>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</si>
  <si>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</si>
  <si>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</si>
  <si>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</si>
  <si>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</si>
  <si>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</si>
  <si>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</si>
  <si>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</si>
  <si>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</si>
  <si>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</si>
  <si>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</si>
  <si>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</si>
  <si>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</si>
  <si>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</si>
  <si>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</si>
  <si>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</si>
  <si>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</si>
  <si>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</si>
  <si>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</si>
  <si>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</si>
  <si>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</si>
  <si>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</si>
  <si>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</si>
  <si>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</si>
  <si>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</si>
  <si>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</si>
  <si>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</si>
  <si>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</si>
  <si>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</si>
  <si>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</si>
  <si>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</si>
  <si>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</si>
  <si>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</si>
  <si>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</si>
  <si>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</si>
  <si>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</si>
  <si>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</si>
  <si>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</si>
  <si>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</si>
  <si>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</si>
  <si>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</si>
  <si>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</si>
  <si>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</si>
  <si>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</si>
  <si>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</si>
  <si>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</si>
  <si>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</si>
  <si>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</si>
  <si>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</si>
  <si>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</si>
  <si>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</si>
  <si>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</si>
  <si>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</si>
  <si>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</si>
  <si>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</si>
  <si>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</si>
  <si>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</si>
  <si>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</si>
  <si>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</si>
  <si>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</si>
  <si>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</si>
  <si>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</si>
  <si>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</si>
  <si>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</si>
  <si>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</si>
  <si>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</si>
  <si>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</si>
  <si>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</si>
  <si>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</si>
  <si>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</si>
  <si>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</si>
  <si>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</si>
  <si>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</si>
  <si>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</si>
  <si>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</si>
  <si>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</si>
  <si>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</si>
  <si>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</si>
  <si>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</si>
  <si>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</si>
  <si>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</si>
  <si>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</si>
  <si>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</si>
  <si>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</si>
  <si>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</si>
  <si>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</si>
  <si>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</si>
  <si>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</si>
  <si>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</si>
  <si>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</si>
  <si>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</si>
  <si>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</si>
  <si>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</si>
  <si>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</si>
  <si>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</si>
  <si>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</si>
  <si>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</si>
  <si>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</si>
  <si>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</si>
  <si>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</si>
  <si>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</si>
  <si>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</si>
  <si>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</si>
  <si>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</si>
  <si>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</si>
  <si>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</si>
  <si>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</si>
  <si>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</si>
  <si>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</si>
  <si>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</si>
  <si>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</si>
  <si>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</si>
  <si>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</si>
  <si>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</si>
  <si>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</si>
  <si>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</si>
  <si>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</si>
  <si>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</si>
  <si>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</si>
  <si>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</si>
  <si>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</si>
  <si>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</si>
  <si>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</si>
  <si>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</si>
  <si>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</si>
  <si>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</si>
  <si>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</si>
  <si>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</si>
  <si>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</si>
  <si>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</si>
  <si>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</si>
  <si>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</si>
  <si>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</si>
  <si>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</si>
  <si>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</si>
  <si>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</si>
  <si>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</si>
  <si>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</si>
  <si>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</si>
  <si>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</si>
  <si>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</si>
  <si>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</si>
  <si>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</si>
  <si>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</si>
  <si>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</si>
  <si>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</si>
  <si>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</si>
  <si>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</si>
  <si>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</si>
  <si>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</si>
  <si>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</si>
  <si>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</si>
  <si>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</si>
  <si>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</si>
  <si>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</si>
  <si>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</si>
  <si>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</si>
  <si>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</si>
  <si>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</si>
  <si>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</si>
  <si>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</si>
  <si>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</si>
  <si>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</si>
  <si>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</si>
  <si>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</si>
  <si>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</si>
  <si>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</si>
  <si>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</si>
  <si>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</si>
  <si>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</si>
  <si>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</si>
  <si>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</si>
  <si>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</si>
  <si>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</si>
  <si>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</si>
  <si>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</si>
  <si>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</si>
  <si>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</si>
  <si>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</si>
  <si>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</si>
  <si>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</si>
  <si>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</si>
  <si>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</si>
  <si>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</si>
  <si>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</si>
  <si>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</si>
  <si>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</si>
  <si>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</si>
  <si>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</si>
  <si>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</si>
  <si>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</si>
  <si>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</si>
  <si>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</si>
  <si>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</si>
  <si>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</si>
  <si>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</si>
  <si>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</si>
  <si>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</si>
  <si>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</si>
  <si>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</si>
  <si>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</si>
  <si>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</si>
  <si>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</si>
  <si>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</si>
  <si>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</si>
  <si>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</si>
  <si>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</si>
  <si>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</si>
  <si>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</si>
  <si>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</si>
  <si>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</si>
  <si>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</si>
  <si>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</si>
  <si>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</si>
  <si>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</si>
  <si>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</si>
  <si>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</si>
  <si>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</si>
  <si>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</si>
  <si>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</si>
  <si>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</si>
  <si>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</si>
  <si>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</si>
  <si>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</si>
  <si>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</si>
  <si>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</si>
  <si>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</si>
  <si>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</si>
  <si>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</si>
  <si>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</si>
  <si>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</si>
  <si>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</si>
  <si>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</si>
  <si>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</si>
  <si>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</si>
  <si>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</si>
  <si>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</si>
  <si>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</si>
  <si>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</si>
  <si>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</si>
  <si>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</si>
  <si>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</si>
  <si>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</si>
  <si>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</si>
  <si>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</si>
  <si>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</si>
  <si>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</si>
  <si>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</si>
  <si>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</si>
  <si>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</si>
  <si>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</si>
  <si>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</si>
  <si>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</si>
  <si>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</si>
  <si>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</si>
  <si>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</si>
  <si>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</si>
  <si>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</si>
  <si>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</si>
  <si>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</si>
  <si>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</si>
  <si>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</si>
  <si>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</si>
  <si>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</si>
  <si>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</si>
  <si>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</si>
  <si>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</si>
  <si>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</si>
  <si>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</si>
  <si>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</si>
  <si>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</si>
  <si>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</si>
  <si>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</si>
  <si>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</si>
  <si>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</si>
  <si>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</si>
  <si>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</si>
  <si>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</si>
  <si>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</si>
  <si>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</si>
  <si>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</si>
  <si>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</si>
  <si>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</si>
  <si>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</si>
  <si>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</si>
  <si>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</si>
  <si>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</si>
  <si>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</si>
  <si>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</si>
  <si>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</si>
  <si>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</si>
  <si>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</si>
  <si>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</si>
  <si>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</si>
  <si>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</si>
  <si>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</si>
  <si>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</si>
  <si>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</si>
  <si>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</si>
  <si>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</si>
  <si>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</si>
  <si>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</si>
  <si>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</si>
  <si>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</si>
  <si>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</si>
  <si>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</si>
  <si>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</si>
  <si>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</si>
  <si>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</si>
  <si>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</si>
  <si>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</si>
  <si>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</si>
  <si>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</si>
  <si>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</si>
  <si>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</si>
  <si>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</si>
  <si>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</si>
  <si>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</si>
  <si>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</si>
  <si>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</si>
  <si>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</si>
  <si>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</si>
  <si>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</si>
  <si>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</si>
  <si>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</si>
  <si>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</si>
  <si>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</si>
  <si>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</si>
  <si>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</si>
  <si>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</si>
  <si>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</si>
  <si>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</si>
  <si>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</si>
  <si>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</si>
  <si>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</si>
  <si>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</si>
  <si>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</si>
  <si>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</si>
  <si>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</si>
  <si>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</si>
  <si>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</si>
  <si>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</si>
  <si>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</si>
  <si>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</si>
  <si>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</si>
  <si>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</si>
  <si>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</si>
  <si>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</si>
  <si>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</si>
  <si>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</si>
  <si>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</si>
  <si>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</si>
  <si>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</si>
  <si>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</si>
  <si>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</si>
  <si>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</si>
  <si>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</si>
  <si>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</si>
  <si>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</si>
  <si>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</si>
  <si>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</si>
  <si>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</si>
  <si>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</si>
  <si>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</si>
  <si>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</si>
  <si>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</si>
  <si>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</si>
  <si>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</si>
  <si>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</si>
  <si>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</si>
  <si>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</si>
  <si>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</si>
  <si>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</si>
  <si>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</si>
  <si>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</si>
  <si>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</si>
  <si>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</si>
  <si>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</si>
  <si>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</si>
  <si>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</si>
  <si>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</si>
  <si>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</si>
  <si>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</si>
  <si>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</si>
  <si>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</si>
  <si>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</si>
  <si>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</si>
  <si>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</si>
  <si>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</si>
  <si>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</si>
  <si>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</si>
  <si>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</si>
  <si>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</si>
  <si>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</si>
  <si>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</si>
  <si>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</si>
  <si>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</si>
  <si>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</si>
  <si>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</si>
  <si>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</si>
  <si>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</si>
  <si>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</si>
  <si>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</si>
  <si>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</si>
  <si>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</si>
  <si>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</si>
  <si>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</si>
  <si>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</si>
  <si>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</si>
  <si>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</si>
  <si>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</si>
  <si>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</si>
  <si>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</si>
  <si>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</si>
  <si>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</si>
  <si>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</si>
  <si>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</si>
  <si>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</si>
  <si>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</si>
  <si>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</si>
  <si>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</si>
  <si>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</si>
  <si>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</si>
  <si>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</si>
  <si>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</si>
  <si>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</si>
  <si>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</si>
  <si>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</si>
  <si>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</si>
  <si>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</si>
  <si>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</si>
  <si>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</si>
  <si>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</si>
  <si>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</si>
  <si>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</si>
  <si>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</si>
  <si>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</si>
  <si>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</si>
  <si>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</si>
  <si>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</si>
  <si>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</si>
  <si>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</si>
  <si>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</si>
  <si>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</si>
  <si>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</si>
  <si>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</si>
  <si>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</si>
  <si>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</si>
  <si>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</si>
  <si>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</si>
  <si>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</si>
  <si>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</si>
  <si>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</si>
  <si>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</si>
  <si>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</si>
  <si>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</si>
  <si>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</si>
  <si>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</si>
  <si>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</si>
  <si>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</si>
  <si>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</si>
  <si>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</si>
  <si>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</si>
  <si>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</si>
  <si>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</si>
  <si>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</si>
  <si>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</si>
  <si>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</si>
  <si>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</si>
  <si>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</si>
  <si>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</si>
  <si>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</si>
  <si>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</si>
  <si>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</si>
  <si>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</si>
  <si>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</si>
  <si>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</si>
  <si>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</si>
  <si>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</si>
  <si>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</si>
  <si>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</si>
  <si>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</si>
  <si>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</si>
  <si>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</si>
  <si>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</si>
  <si>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</si>
  <si>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</si>
  <si>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</si>
  <si>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</si>
  <si>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</si>
  <si>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</si>
  <si>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</si>
  <si>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</si>
  <si>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</si>
  <si>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</si>
  <si>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</si>
  <si>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</si>
  <si>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</si>
  <si>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</si>
  <si>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</si>
  <si>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</si>
  <si>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</si>
  <si>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</si>
  <si>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</si>
  <si>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</si>
  <si>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</si>
  <si>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</si>
  <si>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</si>
  <si>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</si>
  <si>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</si>
  <si>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</si>
  <si>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</si>
  <si>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</si>
  <si>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</si>
  <si>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</si>
  <si>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</si>
  <si>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</si>
  <si>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</si>
  <si>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</si>
  <si>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</si>
  <si>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</si>
  <si>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</si>
  <si>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</si>
  <si>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</si>
  <si>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</si>
  <si>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</si>
  <si>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</si>
  <si>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</si>
  <si>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</si>
  <si>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</si>
  <si>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</si>
  <si>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</si>
  <si>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</si>
  <si>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</si>
  <si>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</si>
  <si>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</si>
  <si>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</si>
  <si>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</si>
  <si>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</si>
  <si>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</si>
  <si>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</si>
  <si>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</si>
  <si>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</si>
  <si>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</si>
  <si>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</si>
  <si>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</si>
  <si>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</si>
  <si>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</si>
  <si>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</si>
  <si>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</si>
  <si>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</si>
  <si>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</si>
  <si>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</si>
  <si>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</si>
  <si>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</si>
  <si>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</si>
  <si>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</si>
  <si>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</si>
  <si>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</si>
  <si>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</si>
  <si>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</si>
  <si>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</si>
  <si>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</si>
  <si>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</si>
  <si>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</si>
  <si>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</si>
  <si>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</si>
  <si>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</si>
  <si>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</si>
  <si>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</si>
  <si>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</si>
  <si>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</si>
  <si>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</si>
  <si>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</si>
  <si>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</si>
  <si>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</si>
  <si>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</si>
  <si>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</si>
  <si>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</si>
  <si>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</si>
  <si>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</si>
  <si>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</si>
  <si>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</si>
  <si>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</si>
  <si>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</si>
  <si>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</si>
  <si>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</si>
  <si>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</si>
  <si>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</si>
  <si>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</si>
  <si>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</si>
  <si>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</si>
  <si>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</si>
  <si>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</si>
  <si>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</si>
  <si>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</si>
  <si>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</si>
  <si>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</si>
  <si>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</si>
  <si>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</si>
  <si>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</si>
  <si>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</si>
  <si>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</si>
  <si>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</si>
  <si>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</si>
  <si>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</si>
  <si>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</si>
  <si>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</si>
  <si>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</si>
  <si>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</si>
  <si>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</si>
  <si>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</si>
  <si>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</si>
  <si>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</si>
  <si>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</si>
  <si>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</si>
  <si>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</si>
  <si>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</si>
  <si>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</si>
  <si>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</si>
  <si>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</si>
  <si>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</si>
  <si>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</si>
  <si>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</si>
  <si>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</si>
  <si>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</si>
  <si>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</si>
  <si>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</si>
  <si>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</si>
  <si>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</si>
  <si>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</si>
  <si>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</si>
  <si>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</si>
  <si>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</si>
  <si>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</si>
  <si>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</si>
  <si>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</si>
  <si>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</si>
  <si>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</si>
  <si>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</si>
  <si>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</si>
  <si>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</si>
  <si>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</si>
  <si>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</si>
  <si>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</si>
  <si>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</si>
  <si>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</si>
  <si>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</si>
  <si>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</si>
  <si>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</si>
  <si>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</si>
  <si>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</si>
  <si>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</si>
  <si>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</si>
  <si>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</si>
  <si>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</si>
  <si>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</si>
  <si>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</si>
  <si>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</si>
  <si>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</si>
  <si>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</si>
  <si>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</si>
  <si>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</si>
  <si>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</si>
  <si>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</si>
  <si>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</si>
  <si>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</si>
  <si>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</si>
  <si>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</si>
  <si>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</si>
  <si>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</si>
  <si>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</si>
  <si>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</si>
  <si>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</si>
  <si>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</si>
  <si>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</si>
  <si>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</si>
  <si>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</si>
  <si>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</si>
  <si>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</si>
  <si>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</si>
  <si>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</si>
  <si>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</si>
  <si>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</si>
  <si>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</si>
  <si>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</si>
  <si>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</si>
  <si>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</si>
  <si>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</si>
  <si>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</si>
  <si>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</si>
  <si>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</si>
  <si>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</si>
  <si>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</si>
  <si>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</si>
  <si>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</si>
  <si>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</si>
  <si>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</si>
  <si>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</si>
  <si>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</si>
  <si>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</si>
  <si>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</si>
  <si>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</si>
  <si>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</si>
  <si>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</si>
  <si>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</si>
  <si>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</si>
  <si>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</si>
  <si>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</si>
  <si>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</si>
  <si>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</si>
  <si>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</si>
  <si>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</si>
  <si>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</si>
  <si>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</si>
  <si>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</si>
  <si>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</si>
  <si>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</si>
  <si>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</si>
  <si>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</si>
  <si>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</si>
  <si>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</si>
  <si>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</si>
  <si>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</si>
  <si>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</si>
  <si>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</si>
  <si>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</si>
  <si>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</si>
  <si>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</si>
  <si>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</si>
  <si>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</si>
  <si>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</si>
  <si>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</si>
  <si>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</si>
  <si>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</si>
  <si>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</si>
  <si>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</si>
  <si>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</si>
  <si>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</si>
  <si>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</si>
  <si>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</si>
  <si>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</si>
  <si>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</si>
  <si>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</si>
  <si>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</si>
  <si>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</si>
  <si>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</si>
  <si>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</si>
  <si>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</si>
  <si>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</si>
  <si>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</si>
  <si>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</si>
  <si>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</si>
  <si>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</si>
  <si>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</si>
  <si>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</si>
  <si>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</si>
  <si>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</si>
  <si>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</si>
  <si>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</si>
  <si>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</si>
  <si>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</si>
  <si>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</si>
  <si>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</si>
  <si>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</si>
  <si>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</si>
  <si>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</si>
  <si>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</si>
  <si>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</si>
  <si>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</si>
  <si>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</si>
  <si>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</si>
  <si>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</si>
  <si>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</si>
  <si>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</si>
  <si>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</si>
  <si>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</si>
  <si>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</si>
  <si>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</si>
  <si>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</si>
  <si>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</si>
  <si>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</si>
  <si>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</si>
  <si>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</si>
  <si>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</si>
  <si>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</si>
  <si>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</si>
  <si>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</si>
  <si>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</si>
  <si>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</si>
  <si>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</si>
  <si>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</si>
  <si>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</si>
  <si>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</si>
  <si>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</si>
  <si>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</si>
  <si>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</si>
  <si>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</si>
  <si>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</si>
  <si>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</si>
  <si>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</si>
  <si>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</si>
  <si>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</si>
  <si>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</si>
  <si>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</si>
  <si>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</si>
  <si>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</si>
  <si>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</si>
  <si>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</si>
  <si>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</si>
  <si>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</si>
  <si>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</si>
  <si>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</si>
  <si>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</si>
  <si>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</si>
  <si>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</si>
  <si>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</si>
  <si>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</si>
  <si>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</si>
  <si>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</si>
  <si>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</si>
  <si>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</si>
  <si>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</si>
  <si>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</si>
  <si>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</si>
  <si>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</si>
  <si>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</si>
  <si>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</si>
  <si>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</si>
  <si>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</si>
  <si>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</si>
  <si>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</si>
  <si>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</si>
  <si>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</si>
  <si>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</si>
  <si>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</si>
  <si>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</si>
  <si>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</si>
  <si>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</si>
  <si>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</si>
  <si>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</si>
  <si>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</si>
  <si>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</si>
  <si>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</si>
  <si>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</si>
  <si>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</si>
  <si>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</si>
  <si>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</si>
  <si>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</si>
  <si>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</si>
  <si>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</si>
  <si>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</si>
  <si>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</si>
  <si>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</si>
  <si>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</si>
  <si>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</si>
  <si>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</si>
  <si>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</si>
  <si>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</si>
  <si>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</si>
  <si>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</si>
  <si>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</si>
  <si>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</si>
  <si>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</si>
  <si>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</si>
  <si>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</si>
  <si>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</si>
  <si>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</si>
  <si>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</si>
  <si>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</si>
  <si>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</si>
  <si>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</si>
  <si>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</si>
  <si>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</si>
  <si>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</si>
  <si>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</si>
  <si>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</si>
  <si>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</si>
  <si>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</si>
  <si>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</si>
  <si>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</si>
  <si>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</si>
  <si>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</si>
  <si>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</si>
  <si>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</si>
  <si>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</si>
  <si>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</si>
  <si>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</si>
  <si>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</si>
  <si>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</si>
  <si>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</si>
  <si>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</si>
  <si>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</si>
  <si>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</si>
  <si>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</si>
  <si>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</si>
  <si>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</si>
  <si>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</si>
  <si>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</si>
  <si>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</si>
  <si>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</si>
  <si>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</si>
  <si>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</si>
  <si>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</si>
  <si>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</si>
  <si>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</si>
  <si>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</si>
  <si>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</si>
  <si>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</si>
  <si>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</si>
  <si>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</si>
  <si>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</si>
  <si>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</si>
  <si>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</si>
  <si>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</si>
  <si>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</si>
  <si>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</si>
  <si>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</si>
  <si>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</si>
  <si>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</si>
  <si>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</si>
  <si>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</si>
  <si>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</si>
  <si>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</si>
  <si>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</si>
  <si>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</si>
  <si>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</si>
  <si>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</si>
  <si>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</si>
  <si>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</si>
  <si>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</si>
  <si>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</si>
  <si>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</si>
  <si>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</si>
  <si>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</si>
  <si>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</si>
  <si>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</si>
  <si>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</si>
  <si>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</si>
  <si>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</si>
  <si>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</si>
  <si>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</si>
  <si>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</si>
  <si>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</si>
  <si>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</si>
  <si>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</si>
  <si>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</si>
  <si>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</si>
  <si>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</si>
  <si>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</si>
  <si>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</si>
  <si>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</si>
  <si>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</si>
  <si>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</si>
  <si>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</si>
  <si>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</si>
  <si>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</si>
  <si>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</si>
  <si>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</si>
  <si>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</si>
  <si>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</si>
  <si>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</si>
  <si>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</si>
  <si>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</si>
  <si>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</si>
  <si>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</si>
  <si>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</si>
  <si>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</si>
  <si>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</si>
  <si>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</si>
  <si>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</si>
  <si>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</si>
  <si>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</si>
  <si>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</si>
  <si>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</si>
  <si>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</si>
  <si>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</si>
  <si>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</si>
  <si>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</si>
  <si>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</si>
  <si>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</si>
  <si>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</si>
  <si>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</si>
  <si>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</si>
  <si>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</si>
  <si>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</si>
  <si>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</si>
  <si>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</si>
  <si>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</si>
  <si>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</si>
  <si>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</si>
  <si>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</si>
  <si>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</si>
  <si>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</si>
  <si>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</si>
  <si>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</si>
  <si>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</si>
  <si>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</si>
  <si>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</si>
  <si>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</si>
  <si>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</si>
  <si>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</si>
  <si>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</si>
  <si>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</si>
  <si>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</si>
  <si>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</si>
  <si>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</si>
  <si>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</si>
  <si>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</si>
  <si>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</si>
  <si>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</si>
  <si>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</si>
  <si>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</si>
  <si>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</si>
  <si>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</si>
  <si>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</si>
  <si>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</si>
  <si>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</si>
  <si>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</si>
  <si>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</si>
  <si>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</si>
  <si>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</si>
  <si>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</si>
  <si>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</si>
  <si>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</si>
  <si>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</si>
  <si>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</si>
  <si>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</si>
  <si>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</si>
  <si>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</si>
  <si>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</si>
  <si>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</si>
  <si>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</si>
  <si>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</si>
  <si>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</si>
  <si>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</si>
  <si>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</si>
  <si>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</si>
  <si>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</si>
  <si>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</si>
  <si>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</si>
  <si>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</si>
  <si>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</si>
  <si>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</si>
  <si>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</si>
  <si>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</si>
  <si>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</si>
  <si>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</si>
  <si>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</si>
  <si>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</si>
  <si>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</si>
  <si>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</si>
  <si>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</si>
  <si>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</si>
  <si>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</si>
  <si>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</si>
  <si>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</si>
  <si>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</si>
  <si>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</si>
  <si>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</si>
  <si>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</si>
  <si>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</si>
  <si>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</si>
  <si>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</si>
  <si>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</si>
  <si>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</si>
  <si>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</si>
  <si>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</si>
  <si>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</si>
  <si>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</si>
  <si>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</si>
  <si>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</si>
  <si>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</si>
  <si>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</si>
  <si>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</si>
  <si>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</si>
  <si>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</si>
  <si>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</si>
  <si>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</si>
  <si>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</si>
  <si>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</si>
  <si>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</si>
  <si>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</si>
  <si>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</si>
  <si>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</si>
  <si>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</si>
  <si>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</si>
  <si>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</si>
  <si>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</si>
  <si>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</si>
  <si>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</si>
  <si>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</si>
  <si>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</si>
  <si>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</si>
  <si>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</si>
  <si>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</si>
  <si>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</si>
  <si>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</si>
  <si>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</si>
  <si>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</si>
  <si>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</si>
  <si>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</si>
  <si>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</si>
  <si>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</si>
  <si>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</si>
  <si>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</si>
  <si>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</si>
  <si>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</si>
  <si>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</si>
  <si>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</si>
  <si>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</si>
  <si>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</si>
  <si>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</si>
  <si>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</si>
  <si>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</si>
  <si>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</si>
  <si>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</si>
  <si>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</si>
  <si>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</si>
  <si>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</si>
  <si>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</si>
  <si>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</si>
  <si>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</si>
  <si>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</si>
  <si>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</si>
  <si>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</si>
  <si>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</si>
  <si>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</si>
  <si>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</si>
  <si>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</si>
  <si>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</si>
  <si>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</si>
  <si>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</si>
  <si>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</si>
  <si>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</si>
  <si>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</si>
  <si>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</si>
  <si>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</si>
  <si>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</si>
  <si>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</si>
  <si>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</si>
  <si>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</si>
  <si>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</si>
  <si>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</si>
  <si>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</si>
  <si>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</si>
  <si>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</si>
  <si>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</si>
  <si>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</si>
  <si>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</si>
  <si>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</si>
  <si>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</si>
  <si>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</si>
  <si>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</si>
  <si>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</si>
  <si>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</si>
  <si>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</si>
  <si>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</si>
  <si>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</si>
  <si>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</si>
  <si>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</si>
  <si>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</si>
  <si>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</si>
  <si>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</si>
  <si>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</si>
  <si>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</si>
  <si>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</si>
  <si>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</si>
  <si>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</si>
  <si>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</si>
  <si>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</si>
  <si>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</si>
  <si>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</si>
  <si>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</si>
  <si>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</si>
  <si>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</si>
  <si>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</si>
  <si>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</si>
  <si>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</si>
  <si>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</si>
  <si>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</si>
  <si>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</si>
  <si>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</si>
  <si>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</si>
  <si>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</si>
  <si>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</si>
  <si>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</si>
  <si>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</si>
  <si>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</si>
  <si>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</si>
  <si>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</si>
  <si>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</si>
  <si>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</si>
  <si>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</si>
  <si>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</si>
  <si>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</si>
  <si>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</si>
  <si>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</si>
  <si>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</si>
  <si>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</si>
  <si>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</si>
  <si>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</si>
  <si>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</si>
  <si>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</si>
  <si>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</si>
  <si>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</si>
  <si>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</si>
  <si>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</si>
  <si>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</si>
  <si>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</si>
  <si>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</si>
  <si>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</si>
  <si>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</si>
  <si>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</si>
  <si>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</si>
  <si>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</si>
  <si>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</si>
  <si>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</si>
  <si>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</si>
  <si>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</si>
  <si>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</si>
  <si>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</si>
  <si>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</si>
  <si>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</si>
  <si>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</si>
  <si>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</si>
  <si>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</si>
  <si>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</si>
  <si>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</si>
  <si>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</si>
  <si>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</si>
  <si>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</si>
  <si>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</si>
  <si>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</si>
  <si>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</si>
  <si>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</si>
  <si>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</si>
  <si>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</si>
  <si>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</si>
  <si>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</si>
  <si>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</si>
  <si>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</si>
  <si>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</si>
  <si>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</si>
  <si>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</si>
  <si>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</si>
  <si>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</si>
  <si>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</si>
  <si>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</si>
  <si>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</si>
  <si>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</si>
  <si>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</si>
  <si>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</si>
  <si>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</si>
  <si>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</si>
  <si>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</si>
  <si>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</si>
  <si>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</si>
  <si>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</si>
  <si>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</si>
  <si>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</si>
  <si>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</si>
  <si>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</si>
  <si>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</si>
  <si>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</si>
  <si>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</si>
  <si>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</si>
  <si>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</si>
  <si>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</si>
  <si>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</si>
  <si>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</si>
  <si>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</si>
  <si>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</si>
  <si>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</si>
  <si>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</si>
  <si>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</si>
  <si>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</si>
  <si>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</si>
  <si>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</si>
  <si>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</si>
  <si>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</si>
  <si>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</si>
  <si>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</si>
  <si>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</si>
  <si>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</si>
  <si>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</si>
  <si>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</si>
  <si>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</si>
  <si>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</si>
  <si>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</si>
  <si>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</si>
  <si>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</si>
  <si>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</si>
  <si>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</si>
  <si>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</si>
  <si>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</si>
  <si>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</si>
  <si>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</si>
  <si>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</si>
  <si>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</si>
  <si>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</si>
  <si>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</si>
  <si>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</si>
  <si>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</si>
  <si>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</si>
  <si>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</si>
  <si>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</si>
  <si>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</si>
  <si>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</si>
  <si>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</si>
  <si>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</si>
  <si>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</si>
  <si>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</si>
  <si>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</si>
  <si>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</si>
  <si>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</si>
  <si>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</si>
  <si>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</si>
  <si>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</si>
  <si>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</si>
  <si>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</si>
  <si>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</si>
  <si>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</si>
  <si>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</si>
  <si>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</si>
  <si>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</si>
  <si>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</si>
  <si>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</si>
  <si>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</si>
  <si>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</si>
  <si>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</si>
  <si>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</si>
  <si>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</si>
  <si>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</si>
  <si>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</si>
  <si>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</si>
  <si>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</si>
  <si>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</si>
  <si>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</si>
  <si>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</si>
  <si>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</si>
  <si>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</si>
  <si>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</si>
  <si>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</si>
  <si>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</si>
  <si>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</si>
  <si>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</si>
  <si>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</si>
  <si>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</si>
  <si>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</si>
  <si>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</si>
  <si>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</si>
  <si>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</si>
  <si>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</si>
  <si>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</si>
  <si>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</si>
  <si>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</si>
  <si>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</si>
  <si>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</si>
  <si>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</si>
  <si>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</si>
  <si>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</si>
  <si>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</si>
  <si>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</si>
  <si>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</si>
  <si>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</si>
  <si>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</si>
  <si>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</si>
  <si>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</si>
  <si>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</si>
  <si>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</si>
  <si>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</si>
  <si>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</si>
  <si>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</si>
  <si>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</si>
  <si>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</si>
  <si>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</si>
  <si>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</si>
  <si>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</si>
  <si>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</si>
  <si>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</si>
  <si>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</si>
  <si>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</si>
  <si>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</si>
  <si>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</si>
  <si>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</si>
  <si>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</si>
  <si>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</si>
  <si>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</si>
  <si>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</si>
  <si>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</si>
  <si>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</si>
  <si>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</si>
  <si>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</si>
  <si>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</si>
  <si>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</si>
  <si>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</si>
  <si>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</si>
  <si>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</si>
  <si>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</si>
  <si>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</si>
  <si>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</si>
  <si>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</si>
  <si>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</si>
  <si>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</si>
  <si>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</si>
  <si>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</si>
  <si>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</si>
  <si>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</si>
  <si>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</si>
  <si>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</si>
  <si>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</si>
  <si>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</si>
  <si>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</si>
  <si>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</si>
  <si>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</si>
  <si>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</si>
  <si>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</si>
  <si>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</si>
  <si>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</si>
  <si>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</si>
  <si>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</si>
  <si>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</si>
  <si>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</si>
  <si>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</si>
  <si>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</si>
  <si>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</si>
  <si>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</si>
  <si>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</si>
  <si>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</si>
  <si>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</si>
  <si>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</si>
  <si>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</si>
  <si>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</si>
  <si>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</si>
  <si>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</si>
  <si>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</si>
  <si>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</si>
  <si>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</si>
  <si>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</si>
  <si>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</si>
  <si>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</si>
  <si>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</si>
  <si>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</si>
  <si>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</si>
  <si>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</si>
  <si>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</si>
  <si>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</si>
  <si>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</si>
  <si>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</si>
  <si>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</si>
  <si>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</si>
  <si>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</si>
  <si>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</si>
  <si>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</si>
  <si>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</si>
  <si>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</si>
  <si>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</si>
  <si>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</si>
  <si>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</si>
  <si>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</si>
  <si>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</si>
  <si>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</si>
  <si>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</si>
  <si>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</si>
  <si>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</si>
  <si>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</si>
  <si>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</si>
  <si>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</si>
  <si>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</si>
  <si>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</si>
  <si>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</si>
  <si>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</si>
  <si>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</si>
  <si>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</si>
  <si>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</si>
  <si>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</si>
  <si>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</si>
  <si>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</si>
  <si>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</si>
  <si>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</si>
  <si>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</si>
  <si>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</si>
  <si>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</si>
  <si>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</si>
  <si>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</si>
  <si>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</si>
  <si>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</si>
  <si>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</si>
  <si>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</si>
  <si>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</si>
  <si>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</si>
  <si>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</si>
  <si>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</si>
  <si>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</si>
  <si>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</si>
  <si>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</si>
  <si>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</si>
  <si>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</si>
  <si>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</si>
  <si>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</si>
  <si>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</si>
  <si>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</si>
  <si>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</si>
  <si>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</si>
  <si>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</si>
  <si>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</si>
  <si>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</si>
  <si>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</si>
  <si>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</si>
  <si>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</si>
  <si>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</si>
  <si>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</si>
  <si>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</si>
  <si>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</si>
  <si>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</si>
  <si>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</si>
  <si>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</si>
  <si>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</si>
  <si>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</si>
  <si>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</si>
  <si>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</si>
  <si>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</si>
  <si>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</si>
  <si>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</si>
  <si>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</si>
  <si>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</si>
  <si>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</si>
  <si>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</si>
  <si>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</si>
  <si>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</si>
  <si>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</si>
  <si>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</si>
  <si>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</si>
  <si>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</si>
  <si>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</si>
  <si>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</si>
  <si>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</si>
  <si>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</si>
  <si>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</si>
  <si>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</si>
  <si>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</si>
  <si>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</si>
  <si>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</si>
  <si>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</si>
  <si>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</si>
  <si>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</si>
  <si>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</si>
  <si>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</si>
  <si>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</si>
  <si>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</si>
  <si>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</si>
  <si>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</si>
  <si>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</si>
  <si>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</si>
  <si>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</si>
  <si>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</si>
  <si>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</si>
  <si>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</si>
  <si>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</si>
  <si>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</si>
  <si>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</si>
  <si>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</si>
  <si>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</si>
  <si>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</si>
  <si>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</si>
  <si>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</si>
  <si>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</si>
  <si>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</si>
  <si>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</si>
  <si>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</si>
  <si>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</si>
  <si>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</si>
  <si>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</si>
  <si>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</si>
  <si>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</si>
  <si>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</si>
  <si>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</si>
  <si>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</si>
  <si>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</si>
  <si>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</si>
  <si>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</si>
  <si>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</si>
  <si>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</si>
  <si>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</si>
  <si>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</si>
  <si>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</si>
  <si>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</si>
  <si>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</si>
  <si>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</si>
  <si>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</si>
  <si>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</si>
  <si>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</si>
  <si>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</si>
  <si>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</si>
  <si>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</si>
  <si>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</si>
  <si>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</si>
  <si>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</si>
  <si>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</si>
  <si>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</si>
  <si>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</si>
  <si>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</si>
  <si>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</si>
  <si>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</si>
  <si>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</si>
  <si>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</si>
  <si>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</si>
  <si>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</si>
  <si>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</si>
  <si>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</si>
  <si>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</si>
  <si>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</si>
  <si>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</si>
  <si>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</si>
  <si>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</si>
  <si>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</si>
  <si>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</si>
  <si>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</si>
  <si>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</si>
  <si>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</si>
  <si>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</si>
  <si>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</si>
  <si>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</si>
  <si>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</si>
  <si>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</si>
  <si>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</si>
  <si>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</si>
  <si>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</si>
  <si>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</si>
  <si>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</si>
  <si>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</si>
  <si>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</si>
  <si>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</si>
  <si>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</si>
  <si>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</si>
  <si>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</si>
  <si>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</si>
  <si>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</si>
  <si>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</si>
  <si>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</si>
  <si>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</si>
  <si>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</si>
  <si>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</si>
  <si>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</si>
  <si>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</si>
  <si>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</si>
  <si>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</si>
  <si>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</si>
  <si>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</si>
  <si>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</si>
  <si>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</si>
  <si>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</si>
  <si>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</si>
  <si>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</si>
  <si>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</si>
  <si>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</si>
  <si>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</si>
  <si>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</si>
  <si>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</si>
  <si>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</si>
  <si>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</si>
  <si>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</si>
  <si>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</si>
  <si>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</si>
  <si>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</si>
  <si>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</si>
  <si>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</si>
  <si>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</si>
  <si>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</si>
  <si>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</si>
  <si>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</si>
  <si>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</si>
  <si>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</si>
  <si>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</si>
  <si>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</si>
  <si>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</si>
  <si>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</si>
  <si>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</si>
  <si>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</si>
  <si>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</si>
  <si>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</si>
  <si>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</si>
  <si>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</si>
  <si>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</si>
  <si>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</si>
  <si>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</si>
  <si>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</si>
  <si>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</si>
  <si>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</si>
  <si>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</si>
  <si>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</si>
  <si>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</si>
  <si>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</si>
  <si>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</si>
  <si>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</si>
  <si>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</si>
  <si>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</si>
  <si>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</si>
  <si>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</si>
  <si>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</si>
  <si>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</si>
  <si>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</si>
  <si>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</si>
  <si>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</si>
  <si>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</si>
  <si>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</si>
  <si>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</si>
  <si>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</si>
  <si>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</si>
  <si>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</si>
  <si>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</si>
  <si>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</si>
  <si>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</si>
  <si>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</si>
  <si>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</si>
  <si>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</si>
  <si>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</si>
  <si>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</si>
  <si>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</si>
  <si>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</si>
  <si>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</si>
  <si>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</si>
  <si>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</si>
  <si>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</si>
  <si>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</si>
  <si>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</si>
  <si>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</si>
  <si>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</si>
  <si>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</si>
  <si>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</si>
  <si>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</si>
  <si>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</si>
  <si>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</si>
  <si>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</si>
  <si>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</si>
  <si>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</si>
  <si>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</si>
  <si>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</si>
  <si>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</si>
  <si>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</si>
  <si>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</si>
  <si>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</si>
  <si>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</si>
  <si>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</si>
  <si>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</si>
  <si>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</si>
  <si>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</si>
  <si>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</si>
  <si>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</si>
  <si>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</si>
  <si>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</si>
  <si>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</si>
  <si>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</si>
  <si>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</si>
  <si>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</si>
  <si>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</si>
  <si>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</si>
  <si>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</si>
  <si>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</si>
  <si>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</si>
  <si>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</si>
  <si>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</si>
  <si>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</si>
  <si>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</si>
  <si>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</si>
  <si>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</si>
  <si>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</si>
  <si>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</si>
  <si>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</si>
  <si>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</si>
  <si>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</si>
  <si>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</si>
  <si>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</si>
  <si>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</si>
  <si>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</si>
  <si>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</si>
  <si>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</si>
  <si>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</si>
  <si>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</si>
  <si>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</si>
  <si>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</si>
  <si>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</si>
  <si>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</si>
  <si>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</si>
  <si>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</si>
  <si>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</si>
  <si>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</si>
  <si>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</si>
  <si>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</si>
  <si>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</si>
  <si>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</si>
  <si>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</si>
  <si>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</si>
  <si>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</si>
  <si>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</si>
  <si>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</si>
  <si>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</si>
  <si>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</si>
  <si>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</si>
  <si>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</si>
  <si>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</si>
  <si>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</si>
  <si>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</si>
  <si>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</si>
  <si>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</si>
  <si>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</si>
  <si>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</si>
  <si>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</si>
  <si>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</si>
  <si>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</si>
  <si>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</si>
  <si>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</si>
  <si>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</si>
  <si>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</si>
  <si>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</si>
  <si>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</si>
  <si>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</si>
  <si>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</si>
  <si>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</si>
  <si>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</si>
  <si>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</si>
  <si>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</si>
  <si>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</si>
  <si>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</si>
  <si>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</si>
  <si>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</si>
  <si>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</si>
  <si>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</si>
  <si>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</si>
  <si>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</si>
  <si>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</si>
  <si>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</si>
  <si>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</si>
  <si>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</si>
  <si>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</si>
  <si>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</si>
  <si>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</si>
  <si>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</si>
  <si>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</si>
  <si>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</si>
  <si>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</si>
  <si>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</si>
  <si>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</si>
  <si>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</si>
  <si>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</si>
  <si>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</si>
  <si>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</si>
  <si>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</si>
  <si>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</si>
  <si>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</si>
  <si>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</si>
  <si>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</si>
  <si>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</si>
  <si>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</si>
  <si>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</si>
  <si>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</si>
  <si>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</si>
  <si>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</si>
  <si>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</si>
  <si>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</si>
  <si>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</si>
  <si>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</si>
  <si>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</si>
  <si>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</si>
  <si>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</si>
  <si>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</si>
  <si>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</si>
  <si>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</si>
  <si>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</si>
  <si>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</si>
  <si>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</si>
  <si>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</si>
  <si>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</si>
  <si>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</si>
  <si>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</si>
  <si>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</si>
  <si>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</si>
  <si>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</si>
  <si>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</si>
  <si>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</si>
  <si>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</si>
  <si>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</si>
  <si>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</si>
  <si>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</si>
  <si>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</si>
  <si>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</si>
  <si>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</si>
  <si>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</si>
  <si>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</si>
  <si>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</si>
  <si>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</si>
  <si>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</si>
  <si>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</si>
  <si>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</si>
  <si>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</si>
  <si>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</si>
  <si>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</si>
  <si>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</si>
  <si>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</si>
  <si>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</si>
  <si>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</si>
  <si>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</si>
  <si>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</si>
  <si>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</si>
  <si>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</si>
  <si>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</si>
  <si>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</si>
  <si>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</si>
  <si>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</si>
  <si>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</si>
  <si>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</si>
  <si>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</si>
  <si>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</si>
  <si>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</si>
  <si>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</si>
  <si>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</si>
  <si>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</si>
  <si>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</si>
  <si>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</si>
  <si>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</si>
  <si>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</si>
  <si>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</si>
  <si>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</si>
  <si>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</si>
  <si>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</si>
  <si>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</si>
  <si>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</si>
  <si>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</si>
  <si>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</si>
  <si>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</si>
  <si>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</si>
  <si>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</si>
  <si>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</si>
  <si>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</si>
  <si>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</si>
  <si>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</si>
  <si>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</si>
  <si>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</si>
  <si>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</si>
  <si>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</si>
  <si>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</si>
  <si>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</si>
  <si>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</si>
  <si>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</si>
  <si>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</si>
  <si>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</si>
  <si>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</si>
  <si>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</si>
  <si>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</si>
  <si>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</si>
  <si>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</si>
  <si>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</si>
  <si>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</si>
  <si>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</si>
  <si>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</si>
  <si>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</si>
  <si>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</si>
  <si>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</si>
  <si>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</si>
  <si>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</si>
  <si>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</si>
  <si>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</si>
  <si>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</si>
  <si>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</si>
  <si>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</si>
  <si>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</si>
  <si>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</si>
  <si>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</si>
  <si>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</si>
  <si>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</si>
  <si>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</si>
  <si>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</si>
  <si>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</si>
  <si>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</si>
  <si>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</si>
  <si>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</si>
  <si>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</si>
  <si>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</si>
  <si>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</si>
  <si>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</si>
  <si>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</si>
  <si>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</si>
  <si>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</si>
  <si>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</si>
  <si>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</si>
  <si>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</si>
  <si>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</si>
  <si>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</si>
  <si>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</si>
  <si>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</si>
  <si>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</si>
  <si>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</si>
  <si>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</si>
  <si>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</si>
  <si>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</si>
  <si>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</si>
  <si>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</si>
  <si>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</si>
  <si>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</si>
  <si>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</si>
  <si>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</si>
  <si>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</si>
  <si>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</si>
  <si>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</si>
  <si>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</si>
  <si>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</si>
  <si>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</si>
  <si>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</si>
  <si>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</si>
  <si>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</si>
  <si>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</si>
  <si>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</si>
  <si>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</si>
  <si>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</si>
  <si>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</si>
  <si>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</si>
  <si>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</si>
  <si>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</si>
  <si>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</si>
  <si>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</si>
  <si>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</si>
  <si>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</si>
  <si>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</si>
  <si>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</si>
  <si>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</si>
  <si>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</si>
  <si>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</si>
  <si>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</si>
  <si>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</si>
  <si>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</si>
  <si>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</si>
  <si>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</si>
  <si>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</si>
  <si>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</si>
  <si>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</si>
  <si>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</si>
  <si>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</si>
  <si>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</si>
  <si>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</si>
  <si>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</si>
  <si>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</si>
  <si>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</si>
  <si>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</si>
  <si>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</si>
  <si>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</si>
  <si>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</si>
  <si>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</si>
  <si>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</si>
  <si>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</si>
  <si>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</si>
  <si>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</si>
  <si>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</si>
  <si>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</si>
  <si>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</si>
  <si>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</si>
  <si>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</si>
  <si>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</si>
  <si>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</si>
  <si>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</si>
  <si>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</si>
  <si>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</si>
  <si>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</si>
  <si>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</si>
  <si>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</si>
  <si>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</si>
  <si>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</si>
  <si>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</si>
  <si>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</si>
  <si>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</si>
  <si>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</si>
  <si>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</si>
  <si>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</si>
  <si>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</si>
  <si>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</si>
  <si>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</si>
  <si>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</si>
  <si>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</si>
  <si>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</si>
  <si>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</si>
  <si>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</si>
  <si>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</si>
  <si>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</si>
  <si>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</si>
  <si>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</si>
  <si>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</si>
  <si>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</si>
  <si>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</si>
  <si>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</si>
  <si>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</si>
  <si>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</si>
  <si>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</si>
  <si>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</si>
  <si>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</si>
  <si>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</si>
  <si>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</si>
  <si>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</si>
  <si>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</si>
  <si>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</si>
  <si>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</si>
  <si>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</si>
  <si>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</si>
  <si>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</si>
  <si>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</si>
  <si>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</si>
  <si>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</si>
  <si>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</si>
  <si>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</si>
  <si>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</si>
  <si>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</si>
  <si>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</si>
  <si>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</si>
  <si>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</si>
  <si>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</si>
  <si>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</si>
  <si>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</si>
  <si>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</si>
  <si>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</si>
  <si>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</si>
  <si>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</si>
  <si>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</si>
  <si>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</si>
  <si>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</si>
  <si>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</si>
  <si>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</si>
  <si>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</si>
  <si>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</si>
  <si>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</si>
  <si>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</si>
  <si>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</si>
  <si>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</si>
  <si>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</si>
  <si>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</si>
  <si>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</si>
  <si>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</si>
  <si>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</si>
  <si>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</si>
  <si>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</si>
  <si>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</si>
  <si>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</si>
  <si>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</si>
  <si>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</si>
  <si>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</si>
  <si>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</si>
  <si>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</si>
  <si>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</si>
  <si>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</si>
  <si>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</si>
  <si>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</si>
  <si>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</si>
  <si>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</si>
  <si>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</si>
  <si>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</si>
  <si>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</si>
  <si>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</si>
  <si>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</si>
  <si>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</si>
  <si>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</si>
  <si>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</si>
  <si>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</si>
  <si>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</si>
  <si>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</si>
  <si>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</si>
  <si>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</si>
  <si>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</si>
  <si>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</si>
  <si>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</si>
  <si>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</si>
  <si>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</si>
  <si>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</si>
  <si>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</si>
  <si>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</si>
  <si>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</si>
  <si>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</si>
  <si>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</si>
  <si>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</si>
  <si>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</si>
  <si>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</si>
  <si>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</si>
  <si>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</si>
  <si>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</si>
  <si>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</si>
  <si>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</si>
  <si>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</si>
  <si>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</si>
  <si>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</si>
  <si>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</si>
  <si>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</si>
  <si>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</si>
  <si>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</si>
  <si>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</si>
  <si>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</si>
  <si>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</si>
  <si>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</si>
  <si>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</si>
  <si>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</si>
  <si>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</si>
  <si>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</si>
  <si>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</si>
  <si>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</si>
  <si>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</si>
  <si>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</si>
  <si>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</si>
  <si>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</si>
  <si>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</si>
  <si>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</si>
  <si>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</si>
  <si>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</si>
  <si>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</si>
  <si>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</si>
  <si>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</si>
  <si>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</si>
  <si>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</si>
  <si>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</si>
  <si>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</si>
  <si>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</si>
  <si>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</si>
  <si>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</si>
  <si>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</si>
  <si>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</si>
  <si>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</si>
  <si>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</si>
  <si>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</si>
  <si>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</si>
  <si>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</si>
  <si>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</si>
  <si>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</si>
  <si>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</si>
  <si>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</si>
  <si>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</si>
  <si>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</si>
  <si>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</si>
  <si>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</si>
  <si>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</si>
  <si>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</si>
  <si>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</si>
  <si>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</si>
  <si>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</si>
  <si>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</si>
  <si>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</si>
  <si>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</si>
  <si>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</si>
  <si>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</si>
  <si>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</si>
  <si>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</si>
  <si>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</si>
  <si>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</si>
  <si>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</si>
  <si>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</si>
  <si>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</si>
  <si>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</si>
  <si>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</si>
  <si>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</si>
  <si>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</si>
  <si>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</si>
  <si>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</si>
  <si>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</si>
  <si>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</si>
  <si>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</si>
  <si>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</si>
  <si>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</si>
  <si>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</si>
  <si>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</si>
  <si>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</si>
  <si>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</si>
  <si>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</si>
  <si>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</si>
  <si>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</si>
  <si>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</si>
  <si>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</si>
  <si>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</si>
  <si>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</si>
  <si>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</si>
  <si>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</si>
  <si>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</si>
  <si>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</si>
  <si>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</si>
  <si>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</si>
  <si>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</si>
  <si>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</si>
  <si>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</si>
  <si>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</si>
  <si>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</si>
  <si>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</si>
  <si>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</si>
  <si>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</si>
  <si>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</si>
  <si>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</si>
  <si>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</si>
  <si>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</si>
  <si>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</si>
  <si>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</si>
  <si>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</si>
  <si>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</si>
  <si>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</si>
  <si>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</si>
  <si>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</si>
  <si>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</si>
  <si>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</si>
  <si>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</si>
  <si>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</si>
  <si>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</si>
  <si>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</si>
  <si>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</si>
  <si>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</si>
  <si>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</si>
  <si>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</si>
  <si>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</si>
  <si>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</si>
  <si>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</si>
  <si>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</si>
  <si>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</si>
  <si>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</si>
  <si>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</si>
  <si>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</si>
  <si>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</si>
  <si>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</si>
  <si>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</si>
  <si>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</si>
  <si>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</si>
  <si>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</si>
  <si>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</si>
  <si>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</si>
  <si>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</si>
  <si>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</si>
  <si>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</si>
  <si>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</si>
  <si>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</si>
  <si>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</si>
  <si>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</si>
  <si>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</si>
  <si>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</si>
  <si>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</si>
  <si>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</si>
  <si>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</si>
  <si>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</si>
  <si>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</si>
  <si>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</si>
  <si>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</si>
  <si>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</si>
  <si>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</si>
  <si>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</si>
  <si>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</si>
  <si>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</si>
  <si>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</si>
  <si>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</si>
  <si>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</si>
  <si>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</si>
  <si>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</si>
  <si>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</si>
  <si>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</si>
  <si>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</si>
  <si>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</si>
  <si>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</si>
  <si>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</si>
  <si>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</si>
  <si>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</si>
  <si>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</si>
  <si>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</si>
  <si>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</si>
  <si>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</si>
  <si>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</si>
  <si>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</si>
  <si>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</si>
  <si>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</si>
  <si>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</si>
  <si>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</si>
  <si>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</si>
  <si>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</si>
  <si>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</si>
  <si>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</si>
  <si>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</si>
  <si>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</si>
  <si>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</si>
  <si>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</si>
  <si>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</si>
  <si>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</si>
  <si>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</si>
  <si>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</si>
  <si>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</si>
  <si>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</si>
  <si>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</si>
  <si>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</si>
  <si>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</si>
  <si>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</si>
  <si>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</si>
  <si>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</si>
  <si>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</si>
  <si>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</si>
  <si>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</si>
  <si>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</si>
  <si>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</si>
  <si>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</si>
  <si>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</si>
  <si>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</si>
  <si>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</si>
  <si>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</si>
  <si>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</si>
  <si>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</si>
  <si>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</si>
  <si>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</si>
  <si>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</si>
  <si>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</si>
  <si>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</si>
  <si>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</si>
  <si>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</si>
  <si>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</si>
  <si>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</si>
  <si>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</si>
  <si>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</si>
  <si>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</si>
  <si>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</si>
  <si>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</si>
  <si>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</si>
  <si>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</si>
  <si>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</si>
  <si>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</si>
  <si>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</si>
  <si>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</si>
  <si>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</si>
  <si>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</si>
  <si>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</si>
  <si>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</si>
  <si>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</si>
  <si>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</si>
  <si>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</si>
  <si>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</si>
  <si>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</si>
  <si>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</si>
  <si>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</si>
  <si>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</si>
  <si>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</si>
  <si>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</si>
  <si>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</si>
  <si>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</si>
  <si>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</si>
  <si>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</si>
  <si>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</si>
  <si>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</si>
  <si>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</si>
  <si>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</si>
  <si>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</si>
  <si>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</si>
  <si>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</si>
  <si>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</si>
  <si>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</si>
  <si>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</si>
  <si>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</si>
  <si>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</si>
  <si>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</si>
  <si>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</si>
  <si>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</si>
  <si>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</si>
  <si>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</si>
  <si>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</si>
  <si>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</si>
  <si>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</si>
  <si>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</si>
  <si>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</si>
  <si>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</si>
  <si>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</si>
  <si>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</si>
  <si>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</si>
  <si>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</si>
  <si>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</si>
  <si>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</si>
  <si>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</si>
  <si>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</si>
  <si>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</si>
  <si>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</si>
  <si>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</si>
  <si>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</si>
  <si>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</si>
  <si>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</si>
  <si>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</si>
  <si>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</si>
  <si>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</si>
  <si>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</si>
  <si>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</si>
  <si>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</si>
  <si>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</si>
  <si>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</si>
  <si>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</si>
  <si>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</si>
  <si>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</si>
  <si>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</si>
  <si>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</si>
  <si>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</si>
  <si>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</si>
  <si>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</si>
  <si>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</si>
  <si>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</si>
  <si>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</si>
  <si>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</si>
  <si>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</si>
  <si>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</si>
  <si>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</si>
  <si>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</si>
  <si>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</si>
  <si>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</si>
  <si>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</si>
  <si>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</si>
  <si>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</si>
  <si>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</si>
  <si>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</si>
  <si>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</si>
  <si>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</si>
  <si>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</si>
  <si>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</si>
  <si>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</si>
  <si>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</si>
  <si>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</si>
  <si>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</si>
  <si>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</si>
  <si>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</si>
  <si>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</si>
  <si>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</si>
  <si>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</si>
  <si>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</si>
  <si>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</si>
  <si>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</si>
  <si>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</si>
  <si>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</si>
  <si>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</si>
  <si>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</si>
  <si>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</si>
  <si>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</si>
  <si>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</si>
  <si>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</si>
  <si>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</si>
  <si>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</si>
  <si>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</si>
  <si>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</si>
  <si>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</si>
  <si>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</si>
  <si>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</si>
  <si>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</si>
  <si>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</si>
  <si>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</si>
  <si>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</si>
  <si>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</si>
  <si>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</si>
  <si>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</si>
  <si>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</si>
  <si>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</si>
  <si>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</si>
  <si>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</si>
  <si>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</si>
  <si>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</si>
  <si>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</si>
  <si>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</si>
  <si>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</si>
  <si>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</si>
  <si>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</si>
  <si>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</si>
  <si>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</si>
  <si>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</si>
  <si>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</si>
  <si>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</si>
  <si>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</si>
  <si>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</si>
  <si>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</si>
  <si>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</si>
  <si>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</si>
  <si>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</si>
  <si>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</si>
  <si>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</si>
  <si>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</si>
  <si>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</si>
  <si>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</si>
  <si>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</si>
  <si>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</si>
  <si>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</si>
  <si>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</si>
  <si>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</si>
  <si>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</si>
  <si>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</si>
  <si>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</si>
  <si>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</si>
  <si>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</si>
  <si>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</si>
  <si>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</si>
  <si>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</si>
  <si>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</si>
  <si>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</si>
  <si>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</si>
  <si>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</si>
  <si>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</si>
  <si>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</si>
  <si>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</si>
  <si>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</si>
  <si>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</si>
  <si>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</si>
  <si>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</si>
  <si>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</si>
  <si>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</si>
  <si>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</si>
  <si>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</si>
  <si>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</si>
  <si>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</si>
  <si>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</si>
  <si>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</si>
  <si>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</si>
  <si>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</si>
  <si>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</si>
  <si>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</si>
  <si>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</si>
  <si>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</si>
  <si>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</si>
  <si>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</si>
  <si>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</si>
  <si>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</si>
  <si>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</si>
  <si>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</si>
  <si>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</si>
  <si>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</si>
  <si>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</si>
  <si>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</si>
  <si>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</si>
  <si>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</si>
  <si>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</si>
  <si>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</si>
  <si>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</si>
  <si>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</si>
  <si>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</si>
  <si>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</si>
  <si>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</si>
  <si>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</si>
  <si>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</si>
  <si>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</si>
  <si>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</si>
  <si>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</si>
  <si>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</si>
  <si>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</si>
  <si>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</si>
  <si>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</si>
  <si>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</si>
  <si>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</si>
  <si>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</si>
  <si>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</si>
  <si>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</si>
  <si>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</si>
  <si>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</si>
  <si>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</si>
  <si>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</si>
  <si>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</si>
  <si>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</si>
  <si>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</si>
  <si>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</si>
  <si>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</si>
  <si>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</si>
  <si>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</si>
  <si>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</si>
  <si>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</si>
  <si>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</si>
  <si>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</si>
  <si>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</si>
  <si>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</si>
  <si>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</si>
  <si>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</si>
  <si>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</si>
  <si>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</si>
  <si>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</si>
  <si>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</si>
  <si>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</si>
  <si>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</si>
  <si>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</si>
  <si>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</si>
  <si>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</si>
  <si>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</si>
  <si>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</si>
  <si>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</si>
  <si>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</si>
  <si>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</si>
  <si>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</si>
  <si>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</si>
  <si>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</si>
  <si>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</si>
  <si>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</si>
  <si>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</si>
  <si>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</si>
  <si>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</si>
  <si>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</si>
  <si>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</si>
  <si>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</si>
  <si>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</si>
  <si>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</si>
  <si>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</si>
  <si>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</si>
  <si>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</si>
  <si>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</si>
  <si>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</si>
  <si>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</si>
  <si>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</si>
  <si>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</si>
  <si>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</si>
  <si>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</si>
  <si>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</si>
  <si>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</si>
  <si>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</si>
  <si>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</si>
  <si>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</si>
  <si>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</si>
  <si>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</si>
  <si>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</si>
  <si>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</si>
  <si>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</si>
  <si>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</si>
  <si>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</si>
  <si>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</si>
  <si>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</si>
  <si>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</si>
  <si>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</si>
  <si>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</si>
  <si>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</si>
  <si>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</si>
  <si>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</si>
  <si>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</si>
  <si>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</si>
  <si>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</si>
  <si>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</si>
  <si>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</si>
  <si>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</si>
  <si>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</si>
  <si>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</si>
  <si>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</si>
  <si>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</si>
  <si>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</si>
  <si>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</si>
  <si>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</si>
  <si>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</si>
  <si>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</si>
  <si>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</si>
  <si>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</si>
  <si>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</si>
  <si>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</si>
  <si>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</si>
  <si>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</si>
  <si>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</si>
  <si>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</si>
  <si>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</si>
  <si>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</si>
  <si>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</si>
  <si>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</si>
  <si>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</si>
  <si>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</si>
  <si>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</si>
  <si>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</si>
  <si>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</si>
  <si>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</si>
  <si>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</si>
  <si>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</si>
  <si>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</si>
  <si>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</si>
  <si>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</si>
  <si>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</si>
  <si>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</si>
  <si>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</si>
  <si>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</si>
  <si>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</si>
  <si>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</si>
  <si>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</si>
  <si>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</si>
  <si>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</si>
  <si>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</si>
  <si>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</si>
  <si>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</si>
  <si>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</si>
  <si>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</si>
  <si>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</si>
  <si>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</si>
  <si>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</si>
  <si>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</si>
  <si>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</si>
  <si>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</si>
  <si>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</si>
  <si>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</si>
  <si>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</si>
  <si>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</si>
  <si>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</si>
  <si>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</si>
  <si>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</si>
  <si>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</si>
  <si>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</si>
  <si>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</si>
  <si>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</si>
  <si>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</si>
  <si>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</si>
  <si>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</si>
  <si>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</si>
  <si>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</si>
  <si>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</si>
  <si>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</si>
  <si>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</si>
  <si>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</si>
  <si>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</si>
  <si>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</si>
  <si>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</si>
  <si>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</si>
  <si>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</si>
  <si>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</si>
  <si>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</si>
  <si>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</si>
  <si>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</si>
  <si>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</si>
  <si>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</si>
  <si>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</si>
  <si>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</si>
  <si>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</si>
  <si>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</si>
  <si>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</si>
  <si>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</si>
  <si>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</si>
  <si>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</si>
  <si>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</si>
  <si>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</si>
  <si>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</si>
  <si>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</si>
  <si>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</si>
  <si>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</si>
  <si>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</si>
  <si>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</si>
  <si>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</si>
  <si>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</si>
  <si>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</si>
  <si>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</si>
  <si>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</si>
  <si>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</si>
  <si>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</si>
  <si>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</si>
  <si>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</si>
  <si>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</si>
  <si>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</si>
  <si>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</si>
  <si>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</si>
  <si>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</si>
  <si>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</si>
  <si>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</si>
  <si>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</si>
  <si>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</si>
  <si>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</si>
  <si>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</si>
  <si>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</si>
  <si>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</si>
  <si>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</si>
  <si>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</si>
  <si>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</si>
  <si>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</si>
  <si>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</si>
  <si>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</si>
  <si>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</si>
  <si>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</si>
  <si>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</si>
  <si>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</si>
  <si>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</si>
  <si>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</si>
  <si>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</si>
  <si>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</si>
  <si>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</si>
  <si>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</si>
  <si>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</si>
  <si>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</si>
  <si>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</si>
  <si>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</si>
  <si>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</si>
  <si>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</si>
  <si>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</si>
  <si>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</si>
  <si>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</si>
  <si>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</si>
  <si>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</si>
  <si>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</si>
  <si>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</si>
  <si>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</si>
  <si>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</si>
  <si>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</si>
  <si>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</si>
  <si>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</si>
  <si>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</si>
  <si>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</si>
  <si>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</si>
  <si>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</si>
  <si>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</si>
  <si>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</si>
  <si>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</si>
  <si>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</si>
  <si>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</si>
  <si>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</si>
  <si>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</si>
  <si>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</si>
  <si>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</si>
  <si>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</si>
  <si>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</si>
  <si>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</si>
  <si>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</si>
  <si>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</si>
  <si>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</si>
  <si>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</si>
  <si>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</si>
  <si>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</si>
  <si>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</si>
  <si>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</si>
  <si>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</si>
  <si>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</si>
  <si>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</si>
  <si>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</si>
  <si>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</si>
  <si>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</si>
  <si>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</si>
  <si>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</si>
  <si>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</si>
  <si>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</si>
  <si>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</si>
  <si>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</si>
  <si>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</si>
  <si>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</si>
  <si>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</si>
  <si>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</si>
  <si>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</si>
  <si>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</si>
  <si>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</si>
  <si>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</si>
  <si>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</si>
  <si>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</si>
  <si>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</si>
  <si>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</si>
  <si>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</si>
  <si>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</si>
  <si>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</si>
  <si>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</si>
  <si>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</si>
  <si>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</si>
  <si>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</si>
  <si>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</si>
  <si>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</si>
  <si>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</si>
  <si>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</si>
  <si>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</si>
  <si>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</si>
  <si>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</si>
  <si>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</si>
  <si>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</si>
  <si>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</si>
  <si>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</si>
  <si>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</si>
  <si>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</si>
  <si>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</si>
  <si>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</si>
  <si>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</si>
  <si>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</si>
  <si>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</si>
  <si>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</si>
  <si>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</si>
  <si>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</si>
  <si>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</si>
  <si>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</si>
  <si>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</si>
  <si>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</si>
  <si>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</si>
  <si>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</si>
  <si>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</si>
  <si>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</si>
  <si>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</si>
  <si>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</si>
  <si>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</si>
  <si>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</si>
  <si>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</si>
  <si>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</si>
  <si>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</si>
  <si>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</si>
  <si>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</si>
  <si>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</si>
  <si>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</si>
  <si>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</si>
  <si>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</si>
  <si>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</si>
  <si>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</si>
  <si>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</si>
  <si>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</si>
  <si>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</si>
  <si>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</si>
  <si>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</si>
  <si>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</si>
  <si>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</si>
  <si>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</si>
  <si>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</si>
  <si>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</si>
  <si>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</si>
  <si>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</si>
  <si>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</si>
  <si>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</si>
  <si>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</si>
  <si>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</si>
  <si>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</si>
  <si>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</si>
  <si>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</si>
  <si>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</si>
  <si>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</si>
  <si>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</si>
  <si>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</si>
  <si>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</si>
  <si>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</si>
  <si>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</si>
  <si>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</si>
  <si>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</si>
  <si>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</si>
  <si>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</si>
  <si>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</si>
  <si>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</si>
  <si>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</si>
  <si>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</si>
  <si>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</si>
  <si>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</si>
  <si>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</si>
  <si>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</si>
  <si>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</si>
  <si>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</si>
  <si>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</si>
  <si>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</si>
  <si>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</si>
  <si>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</si>
  <si>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</si>
  <si>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</si>
  <si>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</si>
  <si>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</si>
  <si>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</si>
  <si>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</si>
  <si>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</si>
  <si>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</si>
  <si>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</si>
  <si>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</si>
  <si>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</si>
  <si>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</si>
  <si>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</si>
  <si>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</si>
  <si>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</si>
  <si>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</si>
  <si>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</si>
  <si>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</si>
  <si>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</si>
  <si>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</si>
  <si>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</si>
  <si>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</si>
  <si>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</si>
  <si>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</si>
  <si>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</si>
  <si>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</si>
  <si>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</si>
  <si>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</si>
  <si>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</si>
  <si>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</si>
  <si>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</si>
  <si>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</si>
  <si>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</si>
  <si>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</si>
  <si>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</si>
  <si>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</si>
  <si>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</si>
  <si>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</si>
  <si>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</si>
  <si>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</si>
  <si>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</si>
  <si>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</si>
  <si>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</si>
  <si>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</si>
  <si>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</si>
  <si>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</si>
  <si>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</si>
  <si>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</si>
  <si>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</si>
  <si>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</si>
  <si>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</si>
  <si>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</si>
  <si>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</si>
  <si>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</si>
  <si>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</si>
  <si>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</si>
  <si>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</si>
  <si>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</si>
  <si>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</si>
  <si>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</si>
  <si>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</si>
  <si>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</si>
  <si>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</si>
  <si>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</si>
  <si>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</si>
  <si>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</si>
  <si>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</si>
  <si>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</si>
  <si>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</si>
  <si>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</si>
  <si>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</si>
  <si>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</si>
  <si>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</si>
  <si>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</si>
  <si>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</si>
  <si>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</si>
  <si>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</si>
  <si>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</si>
  <si>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</si>
  <si>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</si>
  <si>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</si>
  <si>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</si>
  <si>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</si>
  <si>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</si>
  <si>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</si>
  <si>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</si>
  <si>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</si>
  <si>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</si>
  <si>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</si>
  <si>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</si>
  <si>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</si>
  <si>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</si>
  <si>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</si>
  <si>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</si>
  <si>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</si>
  <si>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</si>
  <si>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</si>
  <si>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</si>
  <si>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</si>
  <si>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</si>
  <si>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</si>
  <si>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</si>
  <si>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</si>
  <si>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</si>
  <si>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</si>
  <si>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</si>
  <si>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</si>
  <si>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</si>
  <si>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</si>
  <si>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</si>
  <si>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</si>
  <si>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</si>
  <si>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</si>
  <si>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</si>
  <si>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</si>
  <si>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</si>
  <si>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</si>
  <si>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</si>
  <si>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</si>
  <si>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</si>
  <si>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</si>
  <si>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</si>
  <si>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</si>
  <si>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</si>
  <si>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</si>
  <si>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</si>
  <si>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</si>
  <si>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</si>
  <si>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</si>
  <si>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</si>
  <si>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</si>
  <si>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</si>
  <si>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</si>
  <si>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</si>
  <si>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</si>
  <si>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</si>
  <si>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</si>
  <si>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</si>
  <si>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</si>
  <si>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</si>
  <si>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</si>
  <si>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</si>
  <si>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</si>
  <si>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</si>
  <si>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</si>
  <si>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</si>
  <si>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</si>
  <si>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</si>
  <si>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</si>
  <si>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</si>
  <si>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</si>
  <si>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</si>
  <si>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</si>
  <si>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</si>
  <si>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</si>
  <si>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</si>
  <si>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</si>
  <si>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</si>
  <si>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</si>
  <si>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</si>
  <si>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</si>
  <si>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</si>
  <si>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</si>
  <si>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</si>
  <si>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</si>
  <si>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</si>
  <si>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</si>
  <si>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</si>
  <si>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</si>
  <si>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</si>
  <si>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</si>
  <si>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</si>
  <si>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</si>
  <si>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</si>
  <si>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</si>
  <si>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</si>
  <si>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</si>
  <si>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</si>
  <si>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</si>
  <si>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</si>
  <si>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</si>
  <si>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</si>
  <si>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</si>
  <si>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</si>
  <si>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</si>
  <si>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</si>
  <si>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</si>
  <si>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</si>
  <si>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</si>
  <si>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</si>
  <si>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</si>
  <si>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</si>
  <si>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</si>
  <si>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</si>
  <si>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</si>
  <si>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</si>
  <si>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</si>
  <si>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</si>
  <si>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</si>
  <si>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</si>
  <si>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</si>
  <si>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</si>
  <si>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</si>
  <si>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</si>
  <si>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</si>
  <si>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</si>
  <si>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</si>
  <si>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</si>
  <si>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</si>
  <si>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</si>
  <si>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</si>
  <si>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</si>
  <si>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</si>
  <si>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</si>
  <si>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</si>
  <si>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</si>
  <si>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</si>
  <si>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</si>
  <si>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</si>
  <si>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</si>
  <si>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</si>
  <si>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</si>
  <si>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</si>
  <si>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</si>
  <si>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</si>
  <si>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</si>
  <si>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</si>
  <si>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</si>
  <si>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</si>
  <si>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</si>
  <si>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</si>
  <si>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</si>
  <si>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</si>
  <si>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</si>
  <si>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</si>
  <si>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</si>
  <si>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</si>
  <si>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</si>
  <si>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</si>
  <si>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</si>
  <si>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</si>
  <si>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</si>
  <si>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</si>
  <si>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</si>
  <si>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</si>
  <si>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</si>
  <si>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</si>
  <si>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</si>
  <si>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</si>
  <si>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</si>
  <si>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</si>
  <si>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</si>
  <si>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</si>
  <si>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</si>
  <si>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</si>
  <si>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</si>
  <si>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</si>
  <si>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</si>
  <si>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</si>
  <si>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</si>
  <si>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</si>
  <si>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</si>
  <si>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</si>
  <si>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</si>
  <si>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</si>
  <si>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</si>
  <si>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</si>
  <si>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</si>
  <si>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</si>
  <si>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</si>
  <si>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</si>
  <si>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</si>
  <si>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</si>
  <si>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</si>
  <si>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</si>
  <si>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</si>
  <si>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</si>
  <si>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</si>
  <si>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</si>
  <si>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</si>
  <si>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</si>
  <si>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</si>
  <si>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</si>
  <si>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</si>
  <si>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</si>
  <si>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</si>
  <si>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</si>
  <si>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</si>
  <si>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</si>
  <si>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</si>
  <si>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</si>
  <si>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</si>
  <si>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</si>
  <si>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</si>
  <si>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</si>
  <si>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</si>
  <si>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</si>
  <si>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</si>
  <si>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</si>
  <si>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</si>
  <si>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</si>
  <si>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</si>
  <si>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</si>
  <si>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</si>
  <si>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</si>
  <si>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</si>
  <si>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</si>
  <si>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</si>
  <si>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</si>
  <si>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</si>
  <si>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</si>
  <si>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</si>
  <si>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</si>
  <si>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</si>
  <si>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</si>
  <si>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</si>
  <si>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</si>
  <si>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</si>
  <si>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</si>
  <si>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</si>
  <si>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</si>
  <si>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</si>
  <si>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</si>
  <si>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</si>
  <si>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</si>
  <si>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</si>
  <si>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</si>
  <si>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</si>
  <si>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</si>
  <si>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</si>
  <si>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</si>
  <si>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</si>
  <si>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</si>
  <si>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</si>
  <si>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</si>
  <si>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</si>
  <si>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</si>
  <si>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</si>
  <si>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</si>
  <si>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</si>
  <si>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</si>
  <si>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</si>
  <si>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</si>
  <si>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</si>
  <si>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</si>
  <si>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</si>
  <si>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</si>
  <si>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</si>
  <si>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</si>
  <si>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</si>
  <si>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</si>
  <si>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</si>
  <si>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</si>
  <si>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</si>
  <si>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</si>
  <si>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</si>
  <si>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</si>
  <si>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</si>
  <si>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</si>
  <si>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</si>
  <si>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</si>
  <si>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</si>
  <si>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</si>
  <si>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</si>
  <si>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</si>
  <si>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</si>
  <si>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</si>
  <si>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</si>
  <si>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</si>
  <si>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</si>
  <si>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</si>
  <si>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</si>
  <si>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</si>
  <si>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</si>
  <si>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</si>
  <si>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</si>
  <si>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</si>
  <si>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</si>
  <si>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</si>
  <si>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</si>
  <si>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</si>
  <si>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</si>
  <si>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</si>
  <si>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</si>
  <si>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</si>
  <si>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</si>
  <si>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</si>
  <si>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</si>
  <si>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</si>
  <si>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</si>
  <si>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</si>
  <si>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</si>
  <si>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</si>
  <si>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</si>
  <si>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</si>
  <si>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</si>
  <si>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</si>
  <si>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</si>
  <si>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</si>
  <si>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</si>
  <si>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</si>
  <si>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</si>
  <si>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</si>
  <si>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</si>
  <si>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</si>
  <si>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</si>
  <si>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</si>
  <si>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</si>
  <si>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</si>
  <si>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</si>
  <si>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</si>
  <si>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</si>
  <si>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</si>
  <si>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</si>
  <si>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</si>
  <si>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</si>
  <si>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</si>
  <si>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</si>
  <si>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</si>
  <si>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</si>
  <si>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</si>
  <si>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</si>
  <si>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</si>
  <si>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</si>
  <si>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</si>
  <si>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</si>
  <si>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</si>
  <si>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</si>
  <si>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</si>
  <si>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</si>
  <si>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</si>
  <si>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</si>
  <si>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</si>
  <si>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</si>
  <si>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</si>
  <si>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</si>
  <si>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</si>
  <si>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</si>
  <si>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</si>
  <si>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</si>
  <si>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</si>
  <si>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</si>
  <si>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</si>
  <si>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</si>
  <si>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</si>
  <si>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</si>
  <si>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</si>
  <si>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</si>
  <si>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</si>
  <si>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</si>
  <si>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</si>
  <si>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</si>
  <si>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</si>
  <si>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</si>
  <si>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</si>
  <si>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</si>
  <si>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</si>
  <si>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</si>
  <si>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</si>
  <si>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</si>
  <si>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</si>
  <si>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</si>
  <si>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</si>
  <si>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</si>
  <si>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</si>
  <si>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</si>
  <si>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</si>
  <si>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</si>
  <si>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</si>
  <si>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</si>
  <si>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</si>
  <si>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</si>
  <si>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</si>
  <si>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</si>
  <si>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</si>
  <si>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</si>
  <si>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</si>
  <si>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</si>
  <si>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</si>
  <si>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</si>
  <si>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</si>
  <si>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</si>
  <si>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</si>
  <si>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</si>
  <si>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</si>
  <si>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</si>
  <si>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</si>
  <si>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</si>
  <si>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</si>
  <si>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</si>
  <si>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</si>
  <si>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</si>
  <si>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</si>
  <si>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</si>
  <si>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</si>
  <si>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</si>
  <si>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</si>
  <si>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</si>
  <si>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</si>
  <si>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</si>
  <si>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</si>
  <si>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</si>
  <si>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</si>
  <si>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</si>
  <si>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</si>
  <si>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</si>
  <si>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</si>
  <si>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</si>
  <si>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</si>
  <si>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</si>
  <si>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</si>
  <si>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</si>
  <si>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</si>
  <si>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</si>
  <si>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</si>
  <si>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</si>
  <si>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</si>
  <si>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</si>
  <si>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</si>
  <si>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</si>
  <si>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</si>
  <si>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</si>
  <si>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</si>
  <si>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</si>
  <si>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</si>
  <si>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</si>
  <si>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</si>
  <si>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</si>
  <si>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</si>
  <si>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</si>
  <si>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</si>
  <si>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</si>
  <si>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</si>
  <si>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</si>
  <si>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</si>
  <si>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</si>
  <si>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</si>
  <si>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</si>
  <si>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</si>
  <si>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</si>
  <si>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</si>
  <si>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</si>
  <si>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</si>
  <si>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</si>
  <si>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</si>
  <si>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</si>
  <si>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</si>
  <si>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</si>
  <si>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</si>
  <si>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</si>
  <si>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</si>
  <si>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</si>
  <si>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</si>
  <si>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</si>
  <si>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</si>
  <si>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</si>
  <si>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</si>
  <si>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</si>
  <si>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</si>
  <si>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</si>
  <si>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</si>
  <si>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</si>
  <si>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</si>
  <si>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</si>
  <si>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</si>
  <si>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</si>
  <si>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</si>
  <si>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</si>
  <si>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</si>
  <si>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</si>
  <si>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</si>
  <si>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</si>
  <si>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</si>
  <si>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</si>
  <si>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</si>
  <si>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</si>
  <si>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</si>
  <si>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</si>
  <si>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</si>
  <si>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</si>
  <si>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</si>
  <si>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</si>
  <si>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</si>
  <si>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</si>
  <si>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</si>
  <si>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</si>
  <si>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</si>
  <si>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</si>
  <si>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</si>
  <si>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</si>
  <si>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</si>
  <si>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</si>
  <si>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</si>
  <si>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</si>
  <si>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</si>
  <si>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</si>
  <si>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</si>
  <si>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</si>
  <si>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</si>
  <si>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</si>
  <si>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</si>
  <si>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</si>
  <si>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</si>
  <si>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</si>
  <si>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</si>
  <si>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</si>
  <si>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</si>
  <si>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</si>
  <si>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</si>
  <si>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</si>
  <si>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</si>
  <si>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</si>
  <si>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</si>
  <si>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</si>
  <si>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</si>
  <si>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</si>
  <si>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</si>
  <si>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</si>
  <si>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</si>
  <si>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</si>
  <si>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</si>
  <si>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</si>
  <si>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</si>
  <si>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</si>
  <si>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</si>
  <si>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</si>
  <si>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</si>
  <si>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</si>
  <si>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</si>
  <si>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</si>
  <si>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</si>
  <si>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</si>
  <si>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</si>
  <si>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</si>
  <si>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</si>
  <si>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</si>
  <si>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</si>
  <si>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</si>
  <si>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</si>
  <si>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</si>
  <si>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</si>
  <si>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</si>
  <si>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</si>
  <si>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</si>
  <si>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</si>
  <si>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</si>
  <si>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</si>
  <si>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</si>
  <si>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</si>
  <si>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</si>
  <si>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</si>
  <si>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</si>
  <si>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</si>
  <si>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</si>
  <si>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</si>
  <si>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</si>
  <si>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</si>
  <si>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</si>
  <si>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</si>
  <si>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</si>
  <si>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</si>
  <si>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</si>
  <si>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</si>
  <si>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</si>
  <si>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</si>
  <si>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</si>
  <si>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</si>
  <si>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</si>
  <si>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</si>
  <si>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</si>
  <si>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</si>
  <si>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</si>
  <si>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</si>
  <si>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</si>
  <si>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</si>
  <si>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</si>
  <si>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</si>
  <si>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</si>
  <si>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</si>
  <si>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</si>
  <si>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</si>
  <si>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</si>
  <si>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</si>
  <si>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</si>
  <si>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</si>
  <si>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</si>
  <si>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</si>
  <si>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</si>
  <si>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</si>
  <si>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</si>
  <si>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</si>
  <si>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</si>
  <si>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</si>
  <si>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</si>
  <si>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</si>
  <si>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</si>
  <si>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</si>
  <si>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</si>
  <si>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</si>
  <si>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</si>
  <si>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</si>
  <si>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</si>
  <si>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</si>
  <si>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</si>
  <si>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</si>
  <si>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</si>
  <si>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</si>
  <si>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</si>
  <si>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</si>
  <si>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</si>
  <si>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</si>
  <si>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</si>
  <si>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</si>
  <si>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</si>
  <si>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</si>
  <si>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</si>
  <si>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</si>
  <si>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</si>
  <si>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</si>
  <si>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</si>
  <si>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</si>
  <si>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</si>
  <si>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</si>
  <si>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</si>
  <si>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</si>
  <si>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</si>
  <si>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</si>
  <si>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</si>
  <si>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</si>
  <si>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</si>
  <si>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</si>
  <si>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</si>
  <si>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</si>
  <si>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</si>
  <si>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</si>
  <si>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</si>
  <si>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</si>
  <si>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</si>
  <si>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</si>
  <si>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</si>
  <si>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</si>
  <si>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</si>
  <si>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</si>
  <si>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</si>
  <si>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</si>
  <si>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</si>
  <si>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</si>
  <si>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</si>
  <si>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</si>
  <si>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</si>
  <si>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</si>
  <si>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</si>
  <si>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</si>
  <si>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</si>
  <si>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</si>
  <si>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</si>
  <si>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</si>
  <si>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</si>
  <si>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</si>
  <si>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</si>
  <si>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</si>
  <si>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</si>
  <si>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</si>
  <si>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</si>
  <si>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</si>
  <si>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</si>
  <si>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</si>
  <si>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</si>
  <si>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</si>
  <si>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</si>
  <si>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</si>
  <si>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</si>
  <si>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</si>
  <si>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</si>
  <si>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</si>
  <si>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</si>
  <si>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</si>
  <si>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</si>
  <si>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</si>
  <si>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</si>
  <si>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</si>
  <si>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</si>
  <si>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</si>
  <si>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</si>
  <si>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</si>
  <si>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</si>
  <si>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</si>
  <si>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</si>
  <si>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</si>
  <si>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</si>
  <si>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</si>
  <si>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</si>
  <si>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</si>
  <si>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</si>
  <si>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</si>
  <si>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</si>
  <si>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</si>
  <si>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</si>
  <si>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</si>
  <si>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</si>
  <si>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</si>
  <si>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</si>
  <si>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</si>
  <si>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</si>
  <si>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</si>
  <si>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</si>
  <si>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</si>
  <si>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</si>
  <si>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</si>
  <si>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</si>
  <si>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</si>
  <si>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</si>
  <si>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</si>
  <si>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</si>
  <si>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</si>
  <si>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</si>
  <si>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</si>
  <si>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</si>
  <si>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</si>
  <si>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</si>
  <si>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</si>
  <si>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</si>
  <si>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</si>
  <si>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</si>
  <si>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</si>
  <si>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</si>
  <si>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</si>
  <si>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</si>
  <si>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</si>
  <si>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</si>
  <si>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</si>
  <si>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</si>
  <si>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</si>
  <si>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</si>
  <si>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</si>
  <si>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</si>
  <si>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</si>
  <si>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</si>
  <si>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</si>
  <si>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</si>
  <si>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</si>
  <si>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</si>
  <si>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</si>
  <si>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</si>
  <si>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</si>
  <si>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</si>
  <si>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</si>
  <si>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</si>
  <si>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</si>
  <si>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</si>
  <si>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</si>
  <si>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</si>
  <si>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</si>
  <si>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</si>
  <si>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</si>
  <si>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</si>
  <si>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</si>
  <si>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</si>
  <si>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</si>
  <si>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</si>
  <si>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</si>
  <si>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</si>
  <si>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</si>
  <si>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</si>
  <si>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</si>
  <si>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</si>
  <si>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</si>
  <si>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</si>
  <si>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</si>
  <si>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</si>
  <si>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</si>
  <si>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</si>
  <si>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</si>
  <si>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</si>
  <si>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</si>
  <si>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</si>
  <si>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</si>
  <si>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</si>
  <si>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</si>
  <si>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</si>
  <si>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</si>
  <si>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</si>
  <si>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</si>
  <si>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</si>
  <si>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</si>
  <si>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</si>
  <si>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</si>
  <si>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</si>
  <si>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</si>
  <si>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</si>
  <si>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</si>
  <si>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</si>
  <si>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</si>
  <si>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</si>
  <si>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</si>
  <si>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</si>
  <si>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</si>
  <si>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</si>
  <si>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</si>
  <si>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</si>
  <si>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</si>
  <si>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</si>
  <si>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</si>
  <si>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</si>
  <si>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</si>
  <si>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</si>
  <si>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</si>
  <si>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</si>
  <si>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</si>
  <si>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</si>
  <si>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</si>
  <si>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</si>
  <si>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</si>
  <si>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</si>
  <si>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</si>
  <si>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</si>
  <si>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</si>
  <si>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</si>
  <si>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</si>
  <si>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</si>
  <si>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</si>
  <si>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</si>
  <si>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</si>
  <si>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</si>
  <si>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</si>
  <si>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</si>
  <si>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</si>
  <si>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</si>
  <si>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</si>
  <si>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</si>
  <si>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</si>
  <si>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</si>
  <si>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</si>
  <si>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</si>
  <si>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</si>
  <si>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</si>
  <si>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</si>
  <si>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</si>
  <si>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</si>
  <si>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</si>
  <si>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</si>
  <si>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</si>
  <si>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</si>
  <si>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</si>
  <si>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</si>
  <si>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</si>
  <si>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</si>
  <si>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</si>
  <si>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</si>
  <si>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</si>
  <si>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</si>
  <si>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</si>
  <si>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</si>
  <si>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</si>
  <si>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</si>
  <si>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</si>
  <si>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</si>
  <si>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</si>
  <si>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</si>
  <si>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</si>
  <si>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</si>
  <si>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</si>
  <si>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</si>
  <si>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</si>
  <si>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</si>
  <si>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</si>
  <si>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</si>
  <si>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</si>
  <si>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</si>
  <si>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</si>
  <si>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</si>
  <si>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</si>
  <si>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</si>
  <si>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</si>
  <si>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</si>
  <si>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</si>
  <si>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</si>
  <si>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</si>
  <si>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</si>
  <si>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</si>
  <si>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</si>
  <si>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</si>
  <si>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</si>
  <si>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</si>
  <si>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</si>
  <si>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</si>
  <si>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</si>
  <si>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</si>
  <si>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</si>
  <si>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</si>
  <si>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</si>
  <si>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</si>
  <si>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</si>
  <si>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</si>
  <si>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</si>
  <si>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</si>
  <si>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</si>
  <si>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</si>
  <si>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</si>
  <si>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</si>
  <si>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</si>
  <si>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</si>
  <si>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</si>
  <si>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</si>
  <si>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</si>
  <si>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</si>
  <si>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</si>
  <si>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</si>
  <si>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</si>
  <si>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</si>
  <si>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</si>
  <si>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</si>
  <si>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</si>
  <si>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</si>
  <si>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</si>
  <si>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</si>
  <si>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</si>
  <si>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</si>
  <si>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</si>
  <si>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</si>
  <si>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</si>
  <si>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</si>
  <si>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</si>
  <si>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</si>
  <si>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</si>
  <si>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</si>
  <si>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</si>
  <si>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</si>
  <si>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</si>
  <si>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</si>
  <si>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</si>
  <si>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</si>
  <si>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</si>
  <si>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</si>
  <si>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</si>
  <si>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</si>
  <si>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</si>
  <si>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</si>
  <si>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</si>
  <si>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</si>
  <si>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</si>
  <si>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</si>
  <si>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</si>
  <si>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</si>
  <si>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</si>
  <si>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</si>
  <si>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</si>
  <si>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</si>
  <si>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</si>
  <si>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</si>
  <si>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</si>
  <si>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</si>
  <si>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</si>
  <si>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</si>
  <si>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</si>
  <si>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</si>
  <si>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</si>
  <si>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</si>
  <si>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</si>
  <si>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</si>
  <si>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</si>
  <si>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</si>
  <si>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</si>
  <si>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</si>
  <si>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</si>
  <si>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</si>
  <si>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</si>
  <si>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</si>
  <si>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</si>
  <si>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</si>
  <si>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</si>
  <si>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</si>
  <si>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</si>
  <si>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</si>
  <si>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</si>
  <si>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</si>
  <si>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</si>
  <si>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</si>
  <si>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</si>
  <si>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</si>
  <si>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</si>
  <si>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</si>
  <si>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</si>
  <si>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</si>
  <si>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</si>
  <si>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</si>
  <si>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</si>
  <si>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</si>
  <si>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</si>
  <si>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</si>
  <si>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</si>
  <si>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</si>
  <si>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</si>
  <si>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</si>
  <si>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</si>
  <si>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</si>
  <si>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</si>
  <si>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</si>
  <si>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</si>
  <si>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</si>
  <si>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</si>
  <si>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</si>
  <si>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</si>
  <si>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</si>
  <si>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</si>
  <si>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</si>
  <si>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</si>
  <si>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</si>
  <si>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</si>
  <si>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</si>
  <si>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</si>
  <si>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</si>
  <si>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</si>
  <si>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</si>
  <si>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</si>
  <si>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</si>
  <si>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</si>
  <si>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</si>
  <si>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</si>
  <si>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</si>
  <si>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</si>
  <si>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</si>
  <si>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</si>
  <si>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</si>
  <si>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</si>
  <si>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</si>
  <si>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</si>
  <si>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</si>
  <si>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</si>
  <si>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</si>
  <si>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</si>
  <si>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</si>
  <si>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</si>
  <si>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</si>
  <si>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</si>
  <si>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</si>
  <si>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</si>
  <si>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</si>
  <si>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</si>
  <si>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</si>
  <si>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</si>
  <si>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</si>
  <si>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</si>
  <si>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</si>
  <si>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</si>
  <si>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</si>
  <si>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</si>
  <si>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</si>
  <si>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</si>
  <si>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</si>
  <si>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</si>
  <si>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</si>
  <si>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</si>
  <si>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</si>
  <si>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</si>
  <si>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</si>
  <si>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</si>
  <si>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</si>
  <si>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</si>
  <si>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</si>
  <si>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</si>
  <si>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</si>
  <si>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</si>
  <si>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</si>
  <si>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</si>
  <si>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</si>
  <si>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</si>
  <si>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</si>
  <si>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</si>
  <si>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</si>
  <si>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</si>
  <si>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</si>
  <si>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</si>
  <si>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</si>
  <si>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</si>
  <si>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</si>
  <si>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</si>
  <si>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</si>
  <si>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</si>
  <si>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</si>
  <si>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</si>
  <si>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</si>
  <si>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</si>
  <si>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</si>
  <si>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</si>
  <si>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</si>
  <si>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</si>
  <si>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</si>
  <si>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</si>
  <si>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</si>
  <si>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</si>
  <si>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</si>
  <si>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</si>
  <si>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</si>
  <si>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</si>
  <si>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</si>
  <si>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</si>
  <si>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</si>
  <si>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</si>
  <si>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</si>
  <si>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</si>
  <si>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</si>
  <si>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</si>
  <si>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</si>
  <si>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</si>
  <si>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</si>
  <si>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</si>
  <si>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</si>
  <si>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</si>
  <si>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</si>
  <si>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</si>
  <si>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</si>
  <si>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</si>
  <si>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</si>
  <si>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</si>
  <si>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</si>
  <si>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</si>
  <si>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</si>
  <si>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</si>
  <si>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</si>
  <si>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</si>
  <si>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</si>
  <si>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</si>
  <si>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</si>
  <si>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</si>
  <si>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</si>
  <si>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</si>
  <si>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</si>
  <si>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</si>
  <si>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</si>
  <si>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</si>
  <si>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</si>
  <si>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</si>
  <si>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</si>
  <si>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</si>
  <si>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</si>
  <si>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</si>
  <si>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</si>
  <si>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</si>
  <si>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</si>
  <si>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</si>
  <si>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</si>
  <si>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</si>
  <si>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</si>
  <si>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</si>
  <si>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</si>
  <si>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</si>
  <si>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</si>
  <si>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</si>
  <si>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</si>
  <si>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</si>
  <si>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</si>
  <si>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</si>
  <si>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</si>
  <si>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</si>
  <si>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</si>
  <si>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</si>
  <si>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</si>
  <si>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</si>
  <si>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</si>
  <si>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</si>
  <si>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</si>
  <si>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</si>
  <si>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</si>
  <si>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</si>
  <si>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</si>
  <si>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</si>
  <si>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</si>
  <si>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</si>
  <si>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</si>
  <si>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</si>
  <si>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</si>
  <si>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</si>
  <si>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</si>
  <si>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</si>
  <si>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</si>
  <si>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</si>
  <si>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</si>
  <si>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</si>
  <si>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</si>
  <si>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</si>
  <si>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</si>
  <si>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</si>
  <si>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</si>
  <si>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</si>
  <si>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</si>
  <si>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</si>
  <si>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</si>
  <si>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</si>
  <si>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</si>
  <si>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</si>
  <si>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</si>
  <si>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</si>
  <si>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</si>
  <si>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</si>
  <si>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</si>
  <si>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</si>
  <si>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</si>
  <si>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</si>
  <si>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</si>
  <si>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</si>
  <si>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</si>
  <si>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</si>
  <si>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</si>
  <si>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</si>
  <si>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</si>
  <si>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</si>
  <si>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</si>
  <si>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Wieland Chase, LLC</t>
  </si>
  <si>
    <t>C36000 Alloy Leaded Brass Rod</t>
  </si>
  <si>
    <t>ASTM B16/16M-19 cold drawn in sizes ranging from 0.234 - 4.500"</t>
  </si>
  <si>
    <t>C34500 Alloy Leaded Brass Rod</t>
  </si>
  <si>
    <t>ASTM B453/453M-19 cold drawn in sizes ranging from 0.234 - 4.500"</t>
  </si>
  <si>
    <t>C35000 Alloy Leaded Brass Rod</t>
  </si>
  <si>
    <t>C35300 Alloy Leaded Brass Rod</t>
  </si>
  <si>
    <t>C37700 Alloy Leaded Brass Rod</t>
  </si>
  <si>
    <t>ASTM B124/124M-20 &amp; ASTM B981/B981M-19 cold drawn in sizes ranging from 0.234 - 4.500"</t>
  </si>
  <si>
    <t>C37000 Alloy Leaded Brass Rod</t>
  </si>
  <si>
    <t>C36300 Alloy Low Lead Brass Rod</t>
  </si>
  <si>
    <t>C36300 Alloy Low Lead Brass Rod
Lead average 0.55% (ASTM 0.25-0.7%)</t>
  </si>
  <si>
    <t>C27450 Alloy Low Lead Brass</t>
  </si>
  <si>
    <t>C27450 Alloy Low Lead Brass Rod
Lead average 0.18% (ASTM 0.25% Maximum)</t>
  </si>
  <si>
    <t>ASTM B124/124M-20 &amp; ASTM B927/B927M-17 cold drawn in sizes ranging from 0.234 - 4.500"</t>
  </si>
  <si>
    <t>C69300 Alloy Lead-Free Brass</t>
  </si>
  <si>
    <t>ASTM B371/B371M-19 cold drawn in sizes ranging from 0.375 - 2.500"</t>
  </si>
  <si>
    <t>C698500 Alloy Lead-Free Brass</t>
  </si>
  <si>
    <t>C87850 Alloy Lead-Free Brass</t>
  </si>
  <si>
    <t>ASTM B30-20 ingot and other remelt forms</t>
  </si>
  <si>
    <t>C36000 Alloy Leaded Brass Rod
Lead average 2.67% (ASTM 2.5-3.0%)</t>
  </si>
  <si>
    <t>C37700 Alloy Leaded Brass Rod
Lead average 1.71% (ASTM 1.5-2.5%)</t>
  </si>
  <si>
    <t>C35300 Alloy Leaded Brass Rod
Lead average 1.68% (ASTM 1.5-2.5%)</t>
  </si>
  <si>
    <t>C35000 Alloy Leaded Brass Rod
Lead average 1.68% (ASTM 0.8-2.0%)</t>
  </si>
  <si>
    <t>C34500 Alloy Leaded Brass Rod
Lead average 1.68% (ASTM 1.5-2.5%)</t>
  </si>
  <si>
    <t>C37000 Alloy Leaded Brass Rod
Lead average 1.07% (ASTM 0.7-1.5%)</t>
  </si>
  <si>
    <t>C69300 Alloy Lead-Free Brass Rod                          Lead average 0.052% (ASTM 0.09% maximum)</t>
  </si>
  <si>
    <t>C87850 Alloy Lead-Free Brass Ingot                      Lead average 0.028% (ASTM 0.09% maximum)</t>
  </si>
  <si>
    <t>C69850 Alloy Lead-Free Brass Rod                          Lead average 0.035% (ASTM 0.09% maximum)</t>
  </si>
  <si>
    <t>61-858-3173</t>
  </si>
  <si>
    <t>DUNS</t>
  </si>
  <si>
    <t>14212 Selwyn Drive, Montpelier, Ohio 43543</t>
  </si>
  <si>
    <t>Jack Horner</t>
  </si>
  <si>
    <t>jack.horner@wieland.com</t>
  </si>
  <si>
    <t>(419) 485-8967</t>
  </si>
  <si>
    <t>Larry Muller</t>
  </si>
  <si>
    <t>Senior Technical Advisor</t>
  </si>
  <si>
    <t>larry.muller@wieland.com</t>
  </si>
  <si>
    <t>(419) 485-8932</t>
  </si>
  <si>
    <t>Not a tramp element in our scrap stream and is not intentionally added</t>
  </si>
  <si>
    <t>Tin is considered to be a contaminent in our brass. All purchased materials containing tin outside of our residual element limit of 0.25% maximum are rejected at our incoming inspection operation. Tin is not intentionally added to our products.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</si>
</sst>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8">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15" fillId="33" borderId="37" xfId="0" applyNumberFormat="1" applyFont="1" applyFill="1" applyBorder="1" applyAlignment="1" applyProtection="1">
      <alignment horizontal="left" vertical="center" wrapText="1"/>
      <protection locked="0"/>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15" fillId="33" borderId="34" xfId="0" applyNumberFormat="1" applyFont="1" applyFill="1" applyBorder="1" applyAlignment="1" applyProtection="1">
      <alignment horizontal="left" vertical="center" wrapText="1"/>
      <protection locked="0" hidden="1"/>
    </xf>
    <xf numFmtId="49" fontId="15" fillId="33" borderId="27" xfId="0" applyNumberFormat="1" applyFont="1" applyFill="1" applyBorder="1" applyAlignment="1" applyProtection="1">
      <alignment horizontal="left" vertical="center" wrapText="1"/>
      <protection locked="0" hidden="1"/>
    </xf>
    <xf numFmtId="49" fontId="15" fillId="33" borderId="62" xfId="0" applyNumberFormat="1" applyFont="1" applyFill="1" applyBorder="1" applyAlignment="1" applyProtection="1">
      <alignment horizontal="left" vertical="center" wrapText="1"/>
      <protection locked="0" hidden="1"/>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17">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4"/>
      <c r="B2" s="38" t="s">
        <v>847</v>
      </c>
      <c r="C2" s="36"/>
      <c r="D2" s="206"/>
      <c r="E2" s="3"/>
      <c r="F2" s="36"/>
      <c r="G2" s="34"/>
    </row>
    <row r="3" spans="1:7">
      <c r="A3" s="364"/>
      <c r="B3" s="5" t="s">
        <v>839</v>
      </c>
      <c r="C3" s="6"/>
      <c r="D3" s="207"/>
      <c r="E3" s="3"/>
      <c r="F3" s="6"/>
      <c r="G3" s="34"/>
    </row>
    <row r="4" spans="1:7" ht="15.75">
      <c r="A4" s="364"/>
      <c r="B4" s="41" t="s">
        <v>849</v>
      </c>
      <c r="C4" s="7"/>
      <c r="D4" s="208"/>
      <c r="E4" s="3"/>
      <c r="F4" s="7"/>
      <c r="G4" s="34"/>
    </row>
    <row r="5" spans="1:7">
      <c r="A5" s="364"/>
      <c r="B5" s="40" t="s">
        <v>1040</v>
      </c>
      <c r="C5" s="4"/>
      <c r="D5" s="209"/>
      <c r="E5" s="3"/>
      <c r="F5" s="4"/>
      <c r="G5" s="34"/>
    </row>
    <row r="6" spans="1:7">
      <c r="A6" s="364"/>
      <c r="B6" s="8"/>
      <c r="C6" s="8"/>
      <c r="D6" s="210"/>
      <c r="E6" s="8"/>
      <c r="F6" s="8"/>
      <c r="G6" s="34"/>
    </row>
    <row r="7" spans="1:7">
      <c r="A7" s="364"/>
      <c r="B7" s="8"/>
      <c r="C7" s="8"/>
      <c r="D7" s="210"/>
      <c r="E7" s="8"/>
      <c r="F7" s="8"/>
      <c r="G7" s="34"/>
    </row>
    <row r="8" spans="1:7">
      <c r="A8" s="364"/>
      <c r="B8" s="8"/>
      <c r="C8" s="8"/>
      <c r="D8" s="210"/>
      <c r="E8" s="8"/>
      <c r="F8" s="8"/>
      <c r="G8" s="34"/>
    </row>
    <row r="9" spans="1:7">
      <c r="A9" s="364"/>
      <c r="B9" s="367" t="s">
        <v>850</v>
      </c>
      <c r="C9" s="367"/>
      <c r="D9" s="367"/>
      <c r="E9" s="367"/>
      <c r="F9" s="367"/>
      <c r="G9" s="34"/>
    </row>
    <row r="10" spans="1:7" ht="27" customHeight="1">
      <c r="A10" s="364"/>
      <c r="B10" s="368" t="s">
        <v>438</v>
      </c>
      <c r="C10" s="368"/>
      <c r="D10" s="368"/>
      <c r="E10" s="368"/>
      <c r="F10" s="368"/>
      <c r="G10" s="34"/>
    </row>
    <row r="11" spans="1:7" ht="27" customHeight="1">
      <c r="A11" s="364"/>
      <c r="B11" s="369"/>
      <c r="C11" s="369"/>
      <c r="D11" s="369"/>
      <c r="E11" s="369"/>
      <c r="F11" s="369"/>
      <c r="G11" s="34"/>
    </row>
    <row r="12" spans="1:7">
      <c r="A12" s="364"/>
      <c r="B12" s="42" t="s">
        <v>848</v>
      </c>
      <c r="C12" s="43" t="s">
        <v>851</v>
      </c>
      <c r="D12" s="211" t="s">
        <v>852</v>
      </c>
      <c r="E12" s="43" t="s">
        <v>612</v>
      </c>
      <c r="F12" s="43" t="s">
        <v>613</v>
      </c>
      <c r="G12" s="34"/>
    </row>
    <row r="13" spans="1:7" ht="33.75">
      <c r="A13" s="364"/>
      <c r="B13" s="2">
        <v>1</v>
      </c>
      <c r="C13" s="37" t="s">
        <v>1088</v>
      </c>
      <c r="D13" s="39" t="s">
        <v>876</v>
      </c>
      <c r="E13" s="194" t="s">
        <v>853</v>
      </c>
      <c r="F13" s="194"/>
      <c r="G13" s="34"/>
    </row>
    <row r="14" spans="1:7" ht="33.75">
      <c r="A14" s="364"/>
      <c r="B14" s="2">
        <v>2</v>
      </c>
      <c r="C14" s="37" t="s">
        <v>1088</v>
      </c>
      <c r="D14" s="39" t="s">
        <v>1025</v>
      </c>
      <c r="E14" s="194" t="s">
        <v>530</v>
      </c>
      <c r="F14" s="194" t="s">
        <v>531</v>
      </c>
      <c r="G14" s="34"/>
    </row>
    <row r="15" spans="1:7" ht="89.1" customHeight="1">
      <c r="A15" s="364"/>
      <c r="B15" s="370">
        <v>2.0099999999999998</v>
      </c>
      <c r="C15" s="361" t="s">
        <v>1088</v>
      </c>
      <c r="D15" s="373" t="s">
        <v>2265</v>
      </c>
      <c r="E15" s="195" t="s">
        <v>614</v>
      </c>
      <c r="F15" s="195" t="s">
        <v>617</v>
      </c>
      <c r="G15" s="34"/>
    </row>
    <row r="16" spans="1:7" ht="99" customHeight="1">
      <c r="A16" s="364"/>
      <c r="B16" s="371"/>
      <c r="C16" s="362"/>
      <c r="D16" s="374"/>
      <c r="E16" s="196"/>
      <c r="F16" s="196" t="s">
        <v>615</v>
      </c>
      <c r="G16" s="34"/>
    </row>
    <row r="17" spans="1:7" ht="63" customHeight="1">
      <c r="A17" s="364"/>
      <c r="B17" s="372"/>
      <c r="C17" s="363"/>
      <c r="D17" s="375"/>
      <c r="E17" s="37"/>
      <c r="F17" s="37" t="s">
        <v>616</v>
      </c>
      <c r="G17" s="34"/>
    </row>
    <row r="18" spans="1:7" ht="117" customHeight="1">
      <c r="A18" s="364"/>
      <c r="B18" s="370">
        <v>2.02</v>
      </c>
      <c r="C18" s="361" t="s">
        <v>1088</v>
      </c>
      <c r="D18" s="373" t="s">
        <v>2266</v>
      </c>
      <c r="E18" s="195" t="s">
        <v>439</v>
      </c>
      <c r="F18" s="195" t="s">
        <v>525</v>
      </c>
      <c r="G18" s="34"/>
    </row>
    <row r="19" spans="1:7" ht="71.099999999999994" customHeight="1">
      <c r="A19" s="364"/>
      <c r="B19" s="371"/>
      <c r="C19" s="362"/>
      <c r="D19" s="374"/>
      <c r="E19" s="196" t="s">
        <v>529</v>
      </c>
      <c r="F19" s="196" t="s">
        <v>440</v>
      </c>
      <c r="G19" s="34"/>
    </row>
    <row r="20" spans="1:7" ht="90.75" customHeight="1">
      <c r="A20" s="364"/>
      <c r="B20" s="371"/>
      <c r="C20" s="362"/>
      <c r="D20" s="374"/>
      <c r="E20" s="196"/>
      <c r="F20" s="196" t="s">
        <v>619</v>
      </c>
      <c r="G20" s="34"/>
    </row>
    <row r="21" spans="1:7" ht="74.25" customHeight="1">
      <c r="A21" s="364"/>
      <c r="B21" s="372"/>
      <c r="C21" s="363"/>
      <c r="D21" s="375"/>
      <c r="E21" s="37"/>
      <c r="F21" s="37" t="s">
        <v>618</v>
      </c>
      <c r="G21" s="34"/>
    </row>
    <row r="22" spans="1:7" ht="90" customHeight="1">
      <c r="A22" s="364"/>
      <c r="B22" s="355">
        <v>2.0299999999999998</v>
      </c>
      <c r="C22" s="355" t="s">
        <v>822</v>
      </c>
      <c r="D22" s="358" t="s">
        <v>2267</v>
      </c>
      <c r="E22" s="361" t="s">
        <v>437</v>
      </c>
      <c r="F22" s="195" t="s">
        <v>460</v>
      </c>
      <c r="G22" s="34"/>
    </row>
    <row r="23" spans="1:7" ht="109.5" customHeight="1">
      <c r="A23" s="364"/>
      <c r="B23" s="356"/>
      <c r="C23" s="356"/>
      <c r="D23" s="359"/>
      <c r="E23" s="362"/>
      <c r="F23" s="196" t="s">
        <v>823</v>
      </c>
      <c r="G23" s="34"/>
    </row>
    <row r="24" spans="1:7" ht="74.25" customHeight="1">
      <c r="A24" s="364"/>
      <c r="B24" s="357"/>
      <c r="C24" s="357"/>
      <c r="D24" s="360"/>
      <c r="E24" s="363"/>
      <c r="F24" s="37" t="s">
        <v>436</v>
      </c>
      <c r="G24" s="34"/>
    </row>
    <row r="25" spans="1:7" ht="72" customHeight="1">
      <c r="A25" s="364"/>
      <c r="B25" s="2" t="s">
        <v>458</v>
      </c>
      <c r="C25" s="37" t="s">
        <v>459</v>
      </c>
      <c r="D25" s="39" t="s">
        <v>2268</v>
      </c>
      <c r="E25" s="37" t="s">
        <v>2263</v>
      </c>
      <c r="F25" s="37" t="s">
        <v>461</v>
      </c>
      <c r="G25" s="34"/>
    </row>
    <row r="26" spans="1:7" ht="98.1" customHeight="1">
      <c r="A26" s="364"/>
      <c r="B26" s="376">
        <v>3</v>
      </c>
      <c r="C26" s="370" t="s">
        <v>70</v>
      </c>
      <c r="D26" s="373" t="s">
        <v>2269</v>
      </c>
      <c r="E26" s="361" t="s">
        <v>0</v>
      </c>
      <c r="F26" s="195" t="s">
        <v>64</v>
      </c>
      <c r="G26" s="34"/>
    </row>
    <row r="27" spans="1:7" ht="90" customHeight="1">
      <c r="A27" s="364"/>
      <c r="B27" s="377"/>
      <c r="C27" s="371"/>
      <c r="D27" s="374"/>
      <c r="E27" s="362"/>
      <c r="F27" s="196" t="s">
        <v>59</v>
      </c>
      <c r="G27" s="34"/>
    </row>
    <row r="28" spans="1:7" ht="19.350000000000001" customHeight="1">
      <c r="A28" s="364"/>
      <c r="B28" s="377"/>
      <c r="C28" s="371"/>
      <c r="D28" s="374"/>
      <c r="E28" s="362"/>
      <c r="F28" s="196" t="s">
        <v>60</v>
      </c>
      <c r="G28" s="34"/>
    </row>
    <row r="29" spans="1:7" ht="74.45" customHeight="1">
      <c r="A29" s="364"/>
      <c r="B29" s="377"/>
      <c r="C29" s="371"/>
      <c r="D29" s="374"/>
      <c r="E29" s="362"/>
      <c r="F29" s="196" t="s">
        <v>61</v>
      </c>
      <c r="G29" s="34"/>
    </row>
    <row r="30" spans="1:7" ht="62.45" customHeight="1">
      <c r="A30" s="364"/>
      <c r="B30" s="377"/>
      <c r="C30" s="371"/>
      <c r="D30" s="374"/>
      <c r="E30" s="362"/>
      <c r="F30" s="196" t="s">
        <v>62</v>
      </c>
      <c r="G30" s="34"/>
    </row>
    <row r="31" spans="1:7" ht="81" customHeight="1">
      <c r="A31" s="364"/>
      <c r="B31" s="377"/>
      <c r="C31" s="371"/>
      <c r="D31" s="374"/>
      <c r="E31" s="362"/>
      <c r="F31" s="196" t="s">
        <v>63</v>
      </c>
      <c r="G31" s="34"/>
    </row>
    <row r="32" spans="1:7" ht="48.75" customHeight="1">
      <c r="A32" s="364"/>
      <c r="B32" s="377"/>
      <c r="C32" s="371"/>
      <c r="D32" s="374"/>
      <c r="E32" s="362"/>
      <c r="F32" s="196" t="s">
        <v>66</v>
      </c>
      <c r="G32" s="34"/>
    </row>
    <row r="33" spans="1:7" ht="98.45" customHeight="1">
      <c r="A33" s="364"/>
      <c r="B33" s="377"/>
      <c r="C33" s="371"/>
      <c r="D33" s="374"/>
      <c r="E33" s="362"/>
      <c r="F33" s="196" t="s">
        <v>65</v>
      </c>
      <c r="G33" s="34"/>
    </row>
    <row r="34" spans="1:7" ht="89.1" customHeight="1">
      <c r="A34" s="364"/>
      <c r="B34" s="377"/>
      <c r="C34" s="371"/>
      <c r="D34" s="374"/>
      <c r="E34" s="362"/>
      <c r="F34" s="196" t="s">
        <v>67</v>
      </c>
      <c r="G34" s="34"/>
    </row>
    <row r="35" spans="1:7" ht="29.1" customHeight="1">
      <c r="A35" s="364"/>
      <c r="B35" s="377"/>
      <c r="C35" s="371"/>
      <c r="D35" s="374"/>
      <c r="E35" s="362"/>
      <c r="F35" s="196" t="s">
        <v>68</v>
      </c>
      <c r="G35" s="34"/>
    </row>
    <row r="36" spans="1:7" ht="126.75">
      <c r="A36" s="364"/>
      <c r="B36" s="378"/>
      <c r="C36" s="372"/>
      <c r="D36" s="375"/>
      <c r="E36" s="363"/>
      <c r="F36" s="197" t="s">
        <v>69</v>
      </c>
      <c r="G36" s="34"/>
    </row>
    <row r="37" spans="1:7" ht="112.5">
      <c r="A37" s="364"/>
      <c r="B37" s="170">
        <v>3.01</v>
      </c>
      <c r="C37" s="171" t="s">
        <v>70</v>
      </c>
      <c r="D37" s="39" t="s">
        <v>2270</v>
      </c>
      <c r="E37" s="198" t="s">
        <v>1328</v>
      </c>
      <c r="F37" s="199" t="s">
        <v>1434</v>
      </c>
      <c r="G37" s="34"/>
    </row>
    <row r="38" spans="1:7" ht="101.25">
      <c r="A38" s="364"/>
      <c r="B38" s="170">
        <v>3.02</v>
      </c>
      <c r="C38" s="171" t="s">
        <v>1361</v>
      </c>
      <c r="D38" s="39" t="s">
        <v>2271</v>
      </c>
      <c r="E38" s="198" t="s">
        <v>1376</v>
      </c>
      <c r="F38" s="199" t="s">
        <v>1435</v>
      </c>
      <c r="G38" s="34"/>
    </row>
    <row r="39" spans="1:7" ht="101.25">
      <c r="A39" s="364"/>
      <c r="B39" s="180">
        <v>4</v>
      </c>
      <c r="C39" s="179" t="s">
        <v>1531</v>
      </c>
      <c r="D39" s="39" t="s">
        <v>2272</v>
      </c>
      <c r="E39" s="37" t="s">
        <v>2215</v>
      </c>
      <c r="F39" s="37" t="s">
        <v>1532</v>
      </c>
      <c r="G39" s="34"/>
    </row>
    <row r="40" spans="1:7" ht="56.25">
      <c r="A40" s="364"/>
      <c r="B40" s="170">
        <v>4.01</v>
      </c>
      <c r="C40" s="179" t="s">
        <v>1531</v>
      </c>
      <c r="D40" s="39" t="s">
        <v>2274</v>
      </c>
      <c r="E40" s="37" t="s">
        <v>2229</v>
      </c>
      <c r="F40" s="37" t="s">
        <v>2233</v>
      </c>
      <c r="G40" s="34"/>
    </row>
    <row r="41" spans="1:7" ht="56.25">
      <c r="A41" s="364"/>
      <c r="B41" s="170" t="s">
        <v>2261</v>
      </c>
      <c r="C41" s="179" t="s">
        <v>1531</v>
      </c>
      <c r="D41" s="39" t="s">
        <v>2273</v>
      </c>
      <c r="E41" s="37" t="s">
        <v>2264</v>
      </c>
      <c r="F41" s="37" t="s">
        <v>2262</v>
      </c>
      <c r="G41" s="34"/>
    </row>
    <row r="42" spans="1:7" ht="56.25">
      <c r="A42" s="364"/>
      <c r="B42" s="170" t="s">
        <v>2299</v>
      </c>
      <c r="C42" s="179" t="s">
        <v>1531</v>
      </c>
      <c r="D42" s="39" t="s">
        <v>2306</v>
      </c>
      <c r="E42" s="37" t="s">
        <v>2263</v>
      </c>
      <c r="F42" s="37" t="s">
        <v>2300</v>
      </c>
      <c r="G42" s="34"/>
    </row>
    <row r="43" spans="1:7" ht="123.75">
      <c r="A43" s="364"/>
      <c r="B43" s="191">
        <v>4.0999999999999996</v>
      </c>
      <c r="C43" s="179" t="s">
        <v>2305</v>
      </c>
      <c r="D43" s="192">
        <v>42867</v>
      </c>
      <c r="E43" s="200" t="s">
        <v>2308</v>
      </c>
      <c r="F43" s="37" t="s">
        <v>2307</v>
      </c>
      <c r="G43" s="34"/>
    </row>
    <row r="44" spans="1:7" ht="78.75">
      <c r="A44" s="364"/>
      <c r="B44" s="191">
        <v>4.2</v>
      </c>
      <c r="C44" s="179" t="s">
        <v>2305</v>
      </c>
      <c r="D44" s="192">
        <v>42704</v>
      </c>
      <c r="E44" s="200" t="s">
        <v>2510</v>
      </c>
      <c r="F44" s="37" t="s">
        <v>2485</v>
      </c>
      <c r="G44" s="34"/>
    </row>
    <row r="45" spans="1:7" ht="157.5">
      <c r="A45" s="364"/>
      <c r="B45" s="240">
        <v>5</v>
      </c>
      <c r="C45" s="179" t="s">
        <v>2305</v>
      </c>
      <c r="D45" s="192">
        <v>42867</v>
      </c>
      <c r="E45" s="200" t="s">
        <v>12917</v>
      </c>
      <c r="F45" s="37" t="s">
        <v>12639</v>
      </c>
      <c r="G45" s="34"/>
    </row>
    <row r="46" spans="1:7" ht="45">
      <c r="A46" s="364"/>
      <c r="B46" s="191">
        <v>5.01</v>
      </c>
      <c r="C46" s="179" t="s">
        <v>2305</v>
      </c>
      <c r="D46" s="192">
        <v>42907</v>
      </c>
      <c r="E46" s="200" t="s">
        <v>12935</v>
      </c>
      <c r="F46" s="37" t="s">
        <v>12639</v>
      </c>
      <c r="G46" s="34"/>
    </row>
    <row r="47" spans="1:7" ht="67.5">
      <c r="A47" s="364"/>
      <c r="B47" s="191">
        <v>5.0999999999999996</v>
      </c>
      <c r="C47" s="179" t="s">
        <v>2305</v>
      </c>
      <c r="D47" s="192">
        <v>43070</v>
      </c>
      <c r="E47" s="200" t="s">
        <v>13129</v>
      </c>
      <c r="F47" s="37" t="s">
        <v>13130</v>
      </c>
      <c r="G47" s="34"/>
    </row>
    <row r="48" spans="1:7" ht="56.25">
      <c r="A48" s="364"/>
      <c r="B48" s="191">
        <v>5.1100000000000003</v>
      </c>
      <c r="C48" s="179" t="s">
        <v>13371</v>
      </c>
      <c r="D48" s="192">
        <v>43217</v>
      </c>
      <c r="E48" s="200" t="s">
        <v>13499</v>
      </c>
      <c r="F48" s="37" t="s">
        <v>13405</v>
      </c>
      <c r="G48" s="34"/>
    </row>
    <row r="49" spans="1:7" ht="56.25">
      <c r="A49" s="364"/>
      <c r="B49" s="191">
        <v>5.12</v>
      </c>
      <c r="C49" s="179" t="s">
        <v>13371</v>
      </c>
      <c r="D49" s="192">
        <v>43581</v>
      </c>
      <c r="E49" s="200" t="s">
        <v>13499</v>
      </c>
      <c r="F49" s="37" t="s">
        <v>14064</v>
      </c>
      <c r="G49" s="34"/>
    </row>
    <row r="50" spans="1:7" ht="78.75">
      <c r="A50" s="364"/>
      <c r="B50" s="240">
        <v>6</v>
      </c>
      <c r="C50" s="179" t="s">
        <v>13371</v>
      </c>
      <c r="D50" s="192">
        <v>43964</v>
      </c>
      <c r="E50" s="200" t="s">
        <v>14291</v>
      </c>
      <c r="F50" s="37" t="s">
        <v>14074</v>
      </c>
      <c r="G50" s="34"/>
    </row>
    <row r="51" spans="1:7" ht="45">
      <c r="A51" s="364"/>
      <c r="B51" s="191">
        <v>6.01</v>
      </c>
      <c r="C51" s="179" t="s">
        <v>13371</v>
      </c>
      <c r="D51" s="192">
        <v>43970</v>
      </c>
      <c r="E51" s="200" t="s">
        <v>15309</v>
      </c>
      <c r="F51" s="200" t="s">
        <v>14074</v>
      </c>
      <c r="G51" s="34"/>
    </row>
    <row r="52" spans="1:7" ht="45">
      <c r="A52" s="364"/>
      <c r="B52" s="191">
        <v>6.1</v>
      </c>
      <c r="C52" s="179" t="s">
        <v>13371</v>
      </c>
      <c r="D52" s="192">
        <v>44314</v>
      </c>
      <c r="E52" s="200" t="s">
        <v>15314</v>
      </c>
      <c r="F52" s="200" t="s">
        <v>15319</v>
      </c>
      <c r="G52" s="34"/>
    </row>
    <row r="53" spans="1:7" ht="13.5" thickBot="1">
      <c r="A53" s="365"/>
      <c r="B53" s="366" t="str">
        <f ca="1">OFFSET(L!$C$1,MATCH("General"&amp;"Cpy",L!$A:$A,0)-1,SL,,)</f>
        <v>© 2021 Responsible Minerals Initiative. All rights reserved.</v>
      </c>
      <c r="C53" s="366"/>
      <c r="D53" s="366"/>
      <c r="E53" s="366"/>
      <c r="F53" s="366"/>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9"/>
      <c r="B1" s="380"/>
      <c r="C1" s="380"/>
      <c r="D1" s="381"/>
    </row>
    <row r="2" spans="1:5" ht="71.25" customHeight="1">
      <c r="A2" s="87"/>
      <c r="B2" s="166" t="str">
        <f ca="1">OFFSET(L!$C$1,MATCH("Definitions"&amp;ADDRESS(ROW(),COLUMN(),4),L!$A:$A,0)-1,SL,,)</f>
        <v>ITEM</v>
      </c>
      <c r="C2" s="166" t="str">
        <f ca="1">OFFSET(L!$C$1,MATCH("Definitions"&amp;ADDRESS(ROW(),COLUMN(),4),L!$A:$A,0)-1,SL,,)</f>
        <v>DEFINITION</v>
      </c>
      <c r="D2" s="383"/>
      <c r="E2" s="127"/>
    </row>
    <row r="3" spans="1:5" ht="63.95" customHeight="1">
      <c r="A3" s="87"/>
      <c r="B3" s="74" t="str">
        <f ca="1">OFFSET(L!$C$1,MATCH("Definitions"&amp;ADDRESS(ROW(),COLUMN(),4),L!$A:$A,0)-1,SL,,)</f>
        <v>3TG</v>
      </c>
      <c r="C3" s="74" t="str">
        <f ca="1">OFFSET(L!$C$1,MATCH("Definitions"&amp;ADDRESS(ROW(),COLUMN(),4),L!$A:$A,0)-1,SL,,)</f>
        <v>Tantalum, tin, tungsten, gold</v>
      </c>
      <c r="D3" s="383"/>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3"/>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3"/>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3"/>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3"/>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3"/>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3"/>
      <c r="E9" s="128" t="s">
        <v>1313</v>
      </c>
    </row>
    <row r="10" spans="1:5" ht="45">
      <c r="A10" s="87"/>
      <c r="B10" s="74" t="str">
        <f ca="1">OFFSET(L!$C$1,MATCH("Definitions"&amp;ADDRESS(ROW(),COLUMN(),4),L!$A:$A,0)-1,SL,,)</f>
        <v>DRC</v>
      </c>
      <c r="C10" s="74" t="str">
        <f ca="1">OFFSET(L!$C$1,MATCH("Definitions"&amp;ADDRESS(ROW(),COLUMN(),4),L!$A:$A,0)-1,SL,,)</f>
        <v>Democratic Republic of Congo</v>
      </c>
      <c r="D10" s="383"/>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3"/>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3"/>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3"/>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3"/>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3"/>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3"/>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3"/>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3"/>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3"/>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3"/>
      <c r="E20" s="128"/>
    </row>
    <row r="21" spans="1:5" ht="15">
      <c r="A21" s="87"/>
      <c r="B21" s="74" t="str">
        <f ca="1">OFFSET(L!$C$1,MATCH("Definitions"&amp;ADDRESS(ROW(),COLUMN(),4),L!$A:$A,0)-1,SL,,)</f>
        <v>RBA</v>
      </c>
      <c r="C21" s="74" t="str">
        <f ca="1">OFFSET(L!$C$1,MATCH("Definitions"&amp;ADDRESS(ROW(),COLUMN(),4),L!$A:$A,0)-1,SL,,)</f>
        <v>Responsible Business Alliance (www.responsiblebusiness.org)</v>
      </c>
      <c r="D21" s="383"/>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3"/>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3"/>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3"/>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3"/>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3"/>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3"/>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3"/>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3"/>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3"/>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3"/>
      <c r="E31" s="128"/>
    </row>
    <row r="32" spans="1:5" ht="15">
      <c r="A32" s="87"/>
      <c r="B32" s="382" t="str">
        <f ca="1">OFFSET(L!$C$1,MATCH("General"&amp;"Cpy",L!$A:$A,0)-1,SL,,)</f>
        <v>© 2021 Responsible Minerals Initiative. All rights reserved.</v>
      </c>
      <c r="C32" s="382"/>
      <c r="D32" s="383"/>
      <c r="E32" s="128"/>
    </row>
    <row r="33" spans="1:4" ht="13.5" thickBot="1">
      <c r="A33" s="88"/>
      <c r="B33" s="183"/>
      <c r="C33" s="183"/>
      <c r="D33" s="384"/>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6"/>
      <c r="B1" s="417"/>
      <c r="C1" s="417"/>
      <c r="D1" s="417"/>
      <c r="E1" s="417"/>
      <c r="F1" s="417"/>
      <c r="G1" s="417"/>
      <c r="H1" s="417"/>
      <c r="I1" s="417"/>
      <c r="J1" s="417"/>
      <c r="K1" s="418"/>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9" t="str">
        <f ca="1">OFFSET(L!$C$1,MATCH("Declaration"&amp;ADDRESS(ROW(),COLUMN(),4),L!$A:$A,0)-1,SL,,)</f>
        <v>Conflict Minerals Reporting Template (CMRT)</v>
      </c>
      <c r="E2" s="420"/>
      <c r="F2" s="420"/>
      <c r="G2" s="420"/>
      <c r="H2" s="420"/>
      <c r="I2" s="420"/>
      <c r="J2" s="421"/>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6"/>
      <c r="G3" s="426"/>
      <c r="H3" s="426"/>
      <c r="I3" s="182"/>
      <c r="J3" s="167" t="s">
        <v>15318</v>
      </c>
      <c r="K3" s="47"/>
      <c r="L3" s="139"/>
      <c r="M3" s="130"/>
      <c r="N3" s="130"/>
      <c r="O3" s="131"/>
      <c r="P3" s="144">
        <f>MATCH($D$3,LN,0)</f>
        <v>1</v>
      </c>
    </row>
    <row r="4" spans="1:34" ht="15.75">
      <c r="A4" s="45"/>
      <c r="B4" s="422" t="str">
        <f ca="1">OFFSET(L!$C$1,MATCH("Declaration"&amp;ADDRESS(ROW(),COLUMN(),4),L!$A:$A,0)-1,SL,,)</f>
        <v>The purpose of this document is to collect sourcing information on tin, tantalum, tungsten and gold used in products</v>
      </c>
      <c r="C4" s="422"/>
      <c r="D4" s="422"/>
      <c r="E4" s="422"/>
      <c r="F4" s="422"/>
      <c r="G4" s="422"/>
      <c r="H4" s="422"/>
      <c r="I4" s="427" t="str">
        <f ca="1">OFFSET(L!$C$1,MATCH("Declaration"&amp;ADDRESS(ROW(),COLUMN(),4),L!$A:$A,0)-1,SL,,)</f>
        <v>Link to Terms &amp; Conditions</v>
      </c>
      <c r="J4" s="427"/>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B</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2" t="str">
        <f ca="1">OFFSET(L!$C$1,MATCH("Declaration"&amp;ADDRESS(ROW(),COLUMN(),4),L!$A:$A,0)-1,SL,,)</f>
        <v>Mandatory fields are noted with an asterisk (*).  Consult the instructions tab for guidance on how to answer each question.</v>
      </c>
      <c r="C6" s="422"/>
      <c r="D6" s="422"/>
      <c r="E6" s="422"/>
      <c r="F6" s="422"/>
      <c r="G6" s="422"/>
      <c r="H6" s="422"/>
      <c r="I6" s="422"/>
      <c r="J6" s="422"/>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31" t="str">
        <f ca="1">OFFSET(L!$C$1,MATCH("Declaration"&amp;ADDRESS(ROW(),COLUMN(),4),L!$A:$A,0)-1,SL,,)</f>
        <v>Company Information</v>
      </c>
      <c r="C7" s="431"/>
      <c r="D7" s="431"/>
      <c r="E7" s="431"/>
      <c r="F7" s="431"/>
      <c r="G7" s="431"/>
      <c r="H7" s="431"/>
      <c r="I7" s="431"/>
      <c r="J7" s="431"/>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52" t="s">
        <v>15606</v>
      </c>
      <c r="E8" s="453"/>
      <c r="F8" s="453"/>
      <c r="G8" s="453"/>
      <c r="H8" s="453"/>
      <c r="I8" s="453"/>
      <c r="J8" s="454"/>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8" t="s">
        <v>495</v>
      </c>
      <c r="E9" s="429"/>
      <c r="F9" s="429"/>
      <c r="G9" s="430"/>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32" t="str">
        <f ca="1">OFFSET(L!$C$1,MATCH("Declaration"&amp;ADDRESS(ROW(),COLUMN(),4)&amp;LEFT($D$9,1),L!$A:$A,0)-1,SL,,)</f>
        <v>Go to Product List tab to enter products this declaration applies to</v>
      </c>
      <c r="C10" s="151"/>
      <c r="D10" s="423"/>
      <c r="E10" s="424"/>
      <c r="F10" s="424"/>
      <c r="G10" s="424"/>
      <c r="H10" s="424"/>
      <c r="I10" s="424"/>
      <c r="J10" s="425"/>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3"/>
      <c r="C11" s="151"/>
      <c r="D11" s="400" t="str">
        <f ca="1">IF(D9=Q9,OFFSET(L!$C$1,MATCH("Declaration"&amp;ADDRESS(ROW(),COLUMN(),4),L!$A:$A,0)-1,SL,,),"")</f>
        <v>Click here to enter the products this declaration applies to</v>
      </c>
      <c r="E11" s="401"/>
      <c r="F11" s="401"/>
      <c r="G11" s="401"/>
      <c r="H11" s="401"/>
      <c r="I11" s="401"/>
      <c r="J11" s="402"/>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9" t="s">
        <v>15635</v>
      </c>
      <c r="E12" s="410"/>
      <c r="F12" s="410"/>
      <c r="G12" s="410"/>
      <c r="H12" s="410"/>
      <c r="I12" s="410"/>
      <c r="J12" s="411"/>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9" t="s">
        <v>15636</v>
      </c>
      <c r="E13" s="410"/>
      <c r="F13" s="410"/>
      <c r="G13" s="410"/>
      <c r="H13" s="410"/>
      <c r="I13" s="410"/>
      <c r="J13" s="411"/>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55" t="s">
        <v>15637</v>
      </c>
      <c r="E14" s="456"/>
      <c r="F14" s="456"/>
      <c r="G14" s="456"/>
      <c r="H14" s="456"/>
      <c r="I14" s="456"/>
      <c r="J14" s="457"/>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55" t="s">
        <v>15638</v>
      </c>
      <c r="E15" s="456"/>
      <c r="F15" s="456"/>
      <c r="G15" s="456"/>
      <c r="H15" s="456"/>
      <c r="I15" s="456"/>
      <c r="J15" s="457"/>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4" t="s">
        <v>15639</v>
      </c>
      <c r="E16" s="435"/>
      <c r="F16" s="435"/>
      <c r="G16" s="435"/>
      <c r="H16" s="435"/>
      <c r="I16" s="435"/>
      <c r="J16" s="436"/>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9" t="s">
        <v>15640</v>
      </c>
      <c r="E17" s="410"/>
      <c r="F17" s="410"/>
      <c r="G17" s="410"/>
      <c r="H17" s="410"/>
      <c r="I17" s="410"/>
      <c r="J17" s="411"/>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55" t="s">
        <v>15641</v>
      </c>
      <c r="E18" s="456"/>
      <c r="F18" s="456"/>
      <c r="G18" s="456"/>
      <c r="H18" s="456"/>
      <c r="I18" s="456"/>
      <c r="J18" s="457"/>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9" t="s">
        <v>15642</v>
      </c>
      <c r="E19" s="410"/>
      <c r="F19" s="410"/>
      <c r="G19" s="410"/>
      <c r="H19" s="410"/>
      <c r="I19" s="410"/>
      <c r="J19" s="411"/>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4" t="s">
        <v>15643</v>
      </c>
      <c r="E20" s="435"/>
      <c r="F20" s="435"/>
      <c r="G20" s="435"/>
      <c r="H20" s="435"/>
      <c r="I20" s="435"/>
      <c r="J20" s="436"/>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09" t="s">
        <v>15644</v>
      </c>
      <c r="E21" s="410"/>
      <c r="F21" s="410"/>
      <c r="G21" s="410"/>
      <c r="H21" s="410"/>
      <c r="I21" s="410"/>
      <c r="J21" s="411"/>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7">
        <v>44409</v>
      </c>
      <c r="E22" s="438"/>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2"/>
      <c r="E23" s="412"/>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39" t="str">
        <f ca="1">OFFSET(L!$C$1,MATCH("Declaration"&amp;ADDRESS(ROW(),COLUMN(),4),L!$A:$A,0)-1,SL,,)</f>
        <v>Answer the following questions 1 - 8 based on the declaration scope indicated above</v>
      </c>
      <c r="C24" s="439"/>
      <c r="D24" s="439"/>
      <c r="E24" s="439"/>
      <c r="F24" s="439"/>
      <c r="G24" s="439"/>
      <c r="H24" s="439"/>
      <c r="I24" s="439"/>
      <c r="J24" s="439"/>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9" t="str">
        <f ca="1">OFFSET(L!$C$1,MATCH("Declaration"&amp;ADDRESS(ROW(),COLUMN(),4),L!$A:$A,0)-1,SL,,)</f>
        <v>Answer</v>
      </c>
      <c r="E25" s="399"/>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5" t="s">
        <v>489</v>
      </c>
      <c r="E26" s="386"/>
      <c r="F26" s="15"/>
      <c r="G26" s="387" t="s">
        <v>15645</v>
      </c>
      <c r="H26" s="388"/>
      <c r="I26" s="388"/>
      <c r="J26" s="389"/>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Tin  </v>
      </c>
      <c r="C27" s="46"/>
      <c r="D27" s="385" t="s">
        <v>489</v>
      </c>
      <c r="E27" s="386"/>
      <c r="F27" s="15"/>
      <c r="G27" s="387" t="s">
        <v>15646</v>
      </c>
      <c r="H27" s="388"/>
      <c r="I27" s="388"/>
      <c r="J27" s="389"/>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85" t="s">
        <v>489</v>
      </c>
      <c r="E28" s="386"/>
      <c r="F28" s="15"/>
      <c r="G28" s="387" t="s">
        <v>15645</v>
      </c>
      <c r="H28" s="388"/>
      <c r="I28" s="388"/>
      <c r="J28" s="389"/>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5" t="s">
        <v>489</v>
      </c>
      <c r="E29" s="386"/>
      <c r="F29" s="15"/>
      <c r="G29" s="387" t="s">
        <v>15645</v>
      </c>
      <c r="H29" s="388"/>
      <c r="I29" s="388"/>
      <c r="J29" s="389"/>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v>
      </c>
      <c r="C31" s="13"/>
      <c r="D31" s="405" t="str">
        <f ca="1">D25</f>
        <v>Answer</v>
      </c>
      <c r="E31" s="405"/>
      <c r="F31" s="21"/>
      <c r="G31" s="55" t="str">
        <f ca="1">G25</f>
        <v>Comments</v>
      </c>
      <c r="H31" s="55"/>
      <c r="I31" s="55"/>
      <c r="J31" s="96"/>
      <c r="K31" s="47"/>
      <c r="L31" s="136" t="s">
        <v>1243</v>
      </c>
      <c r="M31" s="130"/>
      <c r="N31" s="130"/>
      <c r="O31" s="131"/>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3"/>
      <c r="E32" s="404"/>
      <c r="F32" s="58"/>
      <c r="G32" s="387"/>
      <c r="H32" s="388"/>
      <c r="I32" s="388"/>
      <c r="J32" s="389"/>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Tin  </v>
      </c>
      <c r="C33" s="13"/>
      <c r="D33" s="385"/>
      <c r="E33" s="386"/>
      <c r="F33" s="58"/>
      <c r="G33" s="387"/>
      <c r="H33" s="388"/>
      <c r="I33" s="388"/>
      <c r="J33" s="389"/>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85"/>
      <c r="E34" s="386"/>
      <c r="F34" s="58"/>
      <c r="G34" s="387"/>
      <c r="H34" s="388"/>
      <c r="I34" s="388"/>
      <c r="J34" s="389"/>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5"/>
      <c r="E35" s="386"/>
      <c r="F35" s="58"/>
      <c r="G35" s="387"/>
      <c r="H35" s="388"/>
      <c r="I35" s="388"/>
      <c r="J35" s="389"/>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v>
      </c>
      <c r="C37" s="13"/>
      <c r="D37" s="405" t="str">
        <f ca="1">D25</f>
        <v>Answer</v>
      </c>
      <c r="E37" s="405"/>
      <c r="F37" s="21"/>
      <c r="G37" s="55" t="str">
        <f ca="1">G25</f>
        <v>Comments</v>
      </c>
      <c r="H37" s="408"/>
      <c r="I37" s="408"/>
      <c r="J37" s="408"/>
      <c r="K37" s="47"/>
      <c r="L37" s="136" t="s">
        <v>1243</v>
      </c>
      <c r="M37" s="130"/>
      <c r="N37" s="130"/>
      <c r="O37" s="131"/>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5"/>
      <c r="E38" s="386"/>
      <c r="F38" s="58"/>
      <c r="G38" s="387"/>
      <c r="H38" s="388"/>
      <c r="I38" s="388"/>
      <c r="J38" s="389"/>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Tin  </v>
      </c>
      <c r="C39" s="13"/>
      <c r="D39" s="385"/>
      <c r="E39" s="386"/>
      <c r="F39" s="58"/>
      <c r="G39" s="387"/>
      <c r="H39" s="388"/>
      <c r="I39" s="388"/>
      <c r="J39" s="389"/>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85"/>
      <c r="E40" s="386"/>
      <c r="F40" s="58"/>
      <c r="G40" s="387"/>
      <c r="H40" s="388"/>
      <c r="I40" s="388"/>
      <c r="J40" s="389"/>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5"/>
      <c r="E41" s="386"/>
      <c r="F41" s="58"/>
      <c r="G41" s="387"/>
      <c r="H41" s="388"/>
      <c r="I41" s="388"/>
      <c r="J41" s="389"/>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v>
      </c>
      <c r="C43" s="13"/>
      <c r="D43" s="405" t="str">
        <f ca="1">D25</f>
        <v>Answer</v>
      </c>
      <c r="E43" s="405"/>
      <c r="F43" s="21"/>
      <c r="G43" s="55" t="str">
        <f ca="1">G25</f>
        <v>Comments</v>
      </c>
      <c r="H43" s="55"/>
      <c r="I43" s="55"/>
      <c r="J43" s="96"/>
      <c r="K43" s="47"/>
      <c r="L43" s="136"/>
      <c r="M43" s="130"/>
      <c r="N43" s="130"/>
      <c r="O43" s="131"/>
      <c r="P43" s="56">
        <f>COUNTIF(D$26:D$29,"No")+COUNTIF(D$32:D$35,"No")</f>
        <v>4</v>
      </c>
      <c r="Q43" s="56" t="str">
        <f>IF(P43&gt;3,""," (*)")</f>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5"/>
      <c r="E44" s="386"/>
      <c r="F44" s="58"/>
      <c r="G44" s="387"/>
      <c r="H44" s="388"/>
      <c r="I44" s="388"/>
      <c r="J44" s="389"/>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 xml:space="preserve">Tin  </v>
      </c>
      <c r="C45" s="13"/>
      <c r="D45" s="385"/>
      <c r="E45" s="386"/>
      <c r="F45" s="58"/>
      <c r="G45" s="387"/>
      <c r="H45" s="388"/>
      <c r="I45" s="388"/>
      <c r="J45" s="389"/>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5"/>
      <c r="E46" s="386"/>
      <c r="F46" s="58"/>
      <c r="G46" s="387"/>
      <c r="H46" s="388"/>
      <c r="I46" s="388"/>
      <c r="J46" s="389"/>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5"/>
      <c r="E47" s="386"/>
      <c r="F47" s="58"/>
      <c r="G47" s="387"/>
      <c r="H47" s="388"/>
      <c r="I47" s="388"/>
      <c r="J47" s="389"/>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 xml:space="preserve">5) Does 100 percent of the 3TG (necessary to the functionality or production of your products) originate from recycled or scrap sources? </v>
      </c>
      <c r="C49" s="13"/>
      <c r="D49" s="405" t="str">
        <f ca="1">D25</f>
        <v>Answer</v>
      </c>
      <c r="E49" s="405"/>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5"/>
      <c r="E50" s="386"/>
      <c r="F50" s="58"/>
      <c r="G50" s="387"/>
      <c r="H50" s="388"/>
      <c r="I50" s="388"/>
      <c r="J50" s="389"/>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Tin  </v>
      </c>
      <c r="C51" s="13"/>
      <c r="D51" s="385"/>
      <c r="E51" s="386"/>
      <c r="F51" s="58"/>
      <c r="G51" s="387"/>
      <c r="H51" s="388"/>
      <c r="I51" s="388"/>
      <c r="J51" s="389"/>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85"/>
      <c r="E52" s="386"/>
      <c r="F52" s="58"/>
      <c r="G52" s="387"/>
      <c r="H52" s="388"/>
      <c r="I52" s="388"/>
      <c r="J52" s="389"/>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5"/>
      <c r="E53" s="386"/>
      <c r="F53" s="58"/>
      <c r="G53" s="387"/>
      <c r="H53" s="388"/>
      <c r="I53" s="388"/>
      <c r="J53" s="389"/>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 xml:space="preserve">6) What percentage of relevant suppliers have provided a response to your supply chain survey? </v>
      </c>
      <c r="C55" s="13"/>
      <c r="D55" s="405" t="str">
        <f ca="1">D25</f>
        <v>Answer</v>
      </c>
      <c r="E55" s="405"/>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06"/>
      <c r="E56" s="407"/>
      <c r="F56" s="58"/>
      <c r="G56" s="387"/>
      <c r="H56" s="388"/>
      <c r="I56" s="388"/>
      <c r="J56" s="389"/>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Tin  </v>
      </c>
      <c r="C57" s="46"/>
      <c r="D57" s="406"/>
      <c r="E57" s="407"/>
      <c r="F57" s="58"/>
      <c r="G57" s="387"/>
      <c r="H57" s="388"/>
      <c r="I57" s="388"/>
      <c r="J57" s="389"/>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406"/>
      <c r="E58" s="407"/>
      <c r="F58" s="58"/>
      <c r="G58" s="387"/>
      <c r="H58" s="388"/>
      <c r="I58" s="388"/>
      <c r="J58" s="389"/>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06"/>
      <c r="E59" s="407"/>
      <c r="F59" s="58"/>
      <c r="G59" s="387"/>
      <c r="H59" s="388"/>
      <c r="I59" s="388"/>
      <c r="J59" s="389"/>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 xml:space="preserve">7) Have you identified all of the smelters supplying the 3TG to your supply chain? </v>
      </c>
      <c r="C61" s="13"/>
      <c r="D61" s="405" t="str">
        <f ca="1">D25</f>
        <v>Answer</v>
      </c>
      <c r="E61" s="405"/>
      <c r="F61" s="21"/>
      <c r="G61" s="55" t="str">
        <f ca="1">G25</f>
        <v>Comments</v>
      </c>
      <c r="H61" s="398"/>
      <c r="I61" s="398"/>
      <c r="J61" s="398"/>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3"/>
      <c r="E62" s="404"/>
      <c r="F62" s="58"/>
      <c r="G62" s="387"/>
      <c r="H62" s="388"/>
      <c r="I62" s="388"/>
      <c r="J62" s="389"/>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Tin  </v>
      </c>
      <c r="C63" s="13"/>
      <c r="D63" s="385"/>
      <c r="E63" s="386"/>
      <c r="F63" s="58"/>
      <c r="G63" s="387"/>
      <c r="H63" s="388"/>
      <c r="I63" s="388"/>
      <c r="J63" s="389"/>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85"/>
      <c r="E64" s="386"/>
      <c r="F64" s="58"/>
      <c r="G64" s="387"/>
      <c r="H64" s="388"/>
      <c r="I64" s="388"/>
      <c r="J64" s="389"/>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5"/>
      <c r="E65" s="386"/>
      <c r="F65" s="58"/>
      <c r="G65" s="387"/>
      <c r="H65" s="388"/>
      <c r="I65" s="388"/>
      <c r="J65" s="389"/>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 xml:space="preserve">8) Has all applicable smelter information received by your company been reported in this declaration? </v>
      </c>
      <c r="C67" s="13"/>
      <c r="D67" s="405" t="str">
        <f ca="1">D25</f>
        <v>Answer</v>
      </c>
      <c r="E67" s="405"/>
      <c r="F67" s="21"/>
      <c r="G67" s="55" t="str">
        <f ca="1">G25</f>
        <v>Comments</v>
      </c>
      <c r="H67" s="398" t="str">
        <f>IF(Q75="(*)","Click here to enter smelter names","")</f>
        <v/>
      </c>
      <c r="I67" s="398"/>
      <c r="J67" s="398"/>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5"/>
      <c r="E68" s="386"/>
      <c r="F68" s="59"/>
      <c r="G68" s="387"/>
      <c r="H68" s="388"/>
      <c r="I68" s="388"/>
      <c r="J68" s="389"/>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 xml:space="preserve">Tin  </v>
      </c>
      <c r="C69" s="46"/>
      <c r="D69" s="385"/>
      <c r="E69" s="386"/>
      <c r="F69" s="59"/>
      <c r="G69" s="387"/>
      <c r="H69" s="388"/>
      <c r="I69" s="388"/>
      <c r="J69" s="389"/>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85"/>
      <c r="E70" s="386"/>
      <c r="F70" s="59"/>
      <c r="G70" s="387"/>
      <c r="H70" s="388"/>
      <c r="I70" s="388"/>
      <c r="J70" s="389"/>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5"/>
      <c r="E71" s="386"/>
      <c r="F71" s="61"/>
      <c r="G71" s="387"/>
      <c r="H71" s="388"/>
      <c r="I71" s="388"/>
      <c r="J71" s="389"/>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90" t="str">
        <f ca="1">OFFSET(L!$C$1,MATCH("Declaration"&amp;ADDRESS(ROW(),COLUMN(),4),L!$A:$A,0)-1,SL,,)</f>
        <v>Answer the Following Questions at a Company Level</v>
      </c>
      <c r="C73" s="390"/>
      <c r="D73" s="390"/>
      <c r="E73" s="390"/>
      <c r="F73" s="390"/>
      <c r="G73" s="390"/>
      <c r="H73" s="390"/>
      <c r="I73" s="390"/>
      <c r="J73" s="390"/>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9" t="str">
        <f ca="1">D25</f>
        <v>Answer</v>
      </c>
      <c r="E74" s="399"/>
      <c r="F74" s="64"/>
      <c r="G74" s="399" t="str">
        <f ca="1">G25</f>
        <v>Comments</v>
      </c>
      <c r="H74" s="399" t="e">
        <f>HLOOKUP(SL,LT,$O74,0)</f>
        <v>#NAME?</v>
      </c>
      <c r="I74" s="399"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v>
      </c>
      <c r="C75" s="68"/>
      <c r="D75" s="385" t="s">
        <v>488</v>
      </c>
      <c r="E75" s="386"/>
      <c r="F75" s="68"/>
      <c r="G75" s="387"/>
      <c r="H75" s="388"/>
      <c r="I75" s="388"/>
      <c r="J75" s="389"/>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6"/>
      <c r="H76" s="396"/>
      <c r="I76" s="396"/>
      <c r="J76" s="396"/>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v>
      </c>
      <c r="C77" s="68"/>
      <c r="D77" s="385" t="s">
        <v>489</v>
      </c>
      <c r="E77" s="386"/>
      <c r="F77" s="68"/>
      <c r="G77" s="413"/>
      <c r="H77" s="414"/>
      <c r="I77" s="414"/>
      <c r="J77" s="415"/>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v>
      </c>
      <c r="C79" s="68"/>
      <c r="D79" s="385" t="s">
        <v>489</v>
      </c>
      <c r="E79" s="386"/>
      <c r="F79" s="68"/>
      <c r="G79" s="387"/>
      <c r="H79" s="388"/>
      <c r="I79" s="388"/>
      <c r="J79" s="389"/>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v>
      </c>
      <c r="C81" s="68"/>
      <c r="D81" s="385" t="s">
        <v>489</v>
      </c>
      <c r="E81" s="386"/>
      <c r="F81" s="68"/>
      <c r="G81" s="387"/>
      <c r="H81" s="388"/>
      <c r="I81" s="388"/>
      <c r="J81" s="389"/>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v>
      </c>
      <c r="C83" s="68"/>
      <c r="D83" s="385" t="s">
        <v>489</v>
      </c>
      <c r="E83" s="386"/>
      <c r="F83" s="68"/>
      <c r="G83" s="387"/>
      <c r="H83" s="388"/>
      <c r="I83" s="388"/>
      <c r="J83" s="389"/>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v>
      </c>
      <c r="C85" s="68"/>
      <c r="D85" s="394" t="s">
        <v>489</v>
      </c>
      <c r="E85" s="395"/>
      <c r="F85" s="68"/>
      <c r="G85" s="387"/>
      <c r="H85" s="388"/>
      <c r="I85" s="388"/>
      <c r="J85" s="389"/>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6"/>
      <c r="H86" s="396"/>
      <c r="I86" s="396"/>
      <c r="J86" s="396"/>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v>
      </c>
      <c r="C87" s="68"/>
      <c r="D87" s="385" t="s">
        <v>489</v>
      </c>
      <c r="E87" s="386"/>
      <c r="F87" s="68"/>
      <c r="G87" s="387"/>
      <c r="H87" s="388"/>
      <c r="I87" s="388"/>
      <c r="J87" s="389"/>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7"/>
      <c r="H88" s="397"/>
      <c r="I88" s="397"/>
      <c r="J88" s="397"/>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v>
      </c>
      <c r="C89" s="68"/>
      <c r="D89" s="385" t="s">
        <v>489</v>
      </c>
      <c r="E89" s="386"/>
      <c r="F89" s="68"/>
      <c r="G89" s="387"/>
      <c r="H89" s="388"/>
      <c r="I89" s="388"/>
      <c r="J89" s="389"/>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3" t="str">
        <f>IF(OR($D$8="",$I$3=""),"","Click here to check required fields completion")</f>
        <v/>
      </c>
      <c r="C90" s="393"/>
      <c r="D90" s="393"/>
      <c r="E90" s="393"/>
      <c r="F90" s="393"/>
      <c r="G90" s="393"/>
      <c r="H90" s="393"/>
      <c r="I90" s="393"/>
      <c r="J90" s="393"/>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91" t="str">
        <f ca="1">OFFSET(L!$C$1,MATCH("General"&amp;"Cpy",L!$A:$A,0)-1,SL,,)</f>
        <v>© 2021 Responsible Minerals Initiative. All rights reserved.</v>
      </c>
      <c r="B91" s="392"/>
      <c r="C91" s="392"/>
      <c r="D91" s="392"/>
      <c r="E91" s="392"/>
      <c r="F91" s="392"/>
      <c r="G91" s="392"/>
      <c r="H91" s="392"/>
      <c r="I91" s="392"/>
      <c r="J91" s="392"/>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16" priority="74" stopIfTrue="1">
      <formula>AND(OR($D$26="No",AND($D$26="Yes",$D$32="No")),OR($D$27="No",AND($D$27="Yes",$D$33="No")),OR($D$28="No",AND($D$28="Yes",$D$34="No")),OR($D$29="No",AND($D$29="Yes",$D$35="No")))</formula>
    </cfRule>
    <cfRule type="expression" dxfId="115" priority="75" stopIfTrue="1">
      <formula>IF(D75="",TRUE)</formula>
    </cfRule>
  </conditionalFormatting>
  <conditionalFormatting sqref="G77:J77">
    <cfRule type="expression" dxfId="114" priority="46" stopIfTrue="1">
      <formula>IF(AND($D$77="Yes",$G$77=""),TRUE)</formula>
    </cfRule>
  </conditionalFormatting>
  <conditionalFormatting sqref="D9:G9">
    <cfRule type="expression" dxfId="108" priority="141" stopIfTrue="1">
      <formula>IF($D$9="",TRUE)</formula>
    </cfRule>
  </conditionalFormatting>
  <conditionalFormatting sqref="D22:E22">
    <cfRule type="expression" dxfId="103" priority="148" stopIfTrue="1">
      <formula>IF($D$22="",TRUE)</formula>
    </cfRule>
  </conditionalFormatting>
  <conditionalFormatting sqref="D10:J10">
    <cfRule type="expression" dxfId="102" priority="45" stopIfTrue="1">
      <formula>IF($D$9=$Q$9,TRUE)</formula>
    </cfRule>
    <cfRule type="expression" dxfId="101" priority="155" stopIfTrue="1">
      <formula>IF(AND($D$10="",$D$9=$R$9),TRUE)</formula>
    </cfRule>
  </conditionalFormatting>
  <conditionalFormatting sqref="D34:E34 D40:E40 D52:E52 D58:E58 D64:E64 D70:E70">
    <cfRule type="expression" dxfId="100" priority="38" stopIfTrue="1">
      <formula>$P$28=""</formula>
    </cfRule>
  </conditionalFormatting>
  <conditionalFormatting sqref="D35:E35 D41:E41 D53:E53 D59:E59 D65:E65 D71:E71">
    <cfRule type="expression" dxfId="99" priority="153" stopIfTrue="1">
      <formula>$P$29=""</formula>
    </cfRule>
  </conditionalFormatting>
  <conditionalFormatting sqref="D32:E32">
    <cfRule type="expression" dxfId="98" priority="131" stopIfTrue="1">
      <formula>$P$26=""</formula>
    </cfRule>
  </conditionalFormatting>
  <conditionalFormatting sqref="D32:E32">
    <cfRule type="expression" dxfId="97" priority="44" stopIfTrue="1">
      <formula>IF(AND(OR($D$26="Yes",$D$26=""),$D$32=""),1,0)</formula>
    </cfRule>
  </conditionalFormatting>
  <conditionalFormatting sqref="D38 D50 D56 D62 D68">
    <cfRule type="expression" dxfId="96" priority="40" stopIfTrue="1">
      <formula>$P$32=""</formula>
    </cfRule>
  </conditionalFormatting>
  <conditionalFormatting sqref="D39:E39 D51 D57 D63 D69">
    <cfRule type="expression" dxfId="95" priority="39" stopIfTrue="1">
      <formula>$P$33=""</formula>
    </cfRule>
  </conditionalFormatting>
  <conditionalFormatting sqref="D40 D52 D58 D64 D70">
    <cfRule type="expression" dxfId="94" priority="29" stopIfTrue="1">
      <formula>$P$34=""</formula>
    </cfRule>
    <cfRule type="expression" dxfId="93" priority="151" stopIfTrue="1">
      <formula>IF(AND(OR($D$28="Yes",$D$28=""),D40=""),1,0)</formula>
    </cfRule>
  </conditionalFormatting>
  <conditionalFormatting sqref="D41 D53 D59 D65 D71">
    <cfRule type="expression" dxfId="92" priority="37" stopIfTrue="1">
      <formula>$P$35=""</formula>
    </cfRule>
  </conditionalFormatting>
  <conditionalFormatting sqref="D38:E38 D50:E50 D56:E56 D62:E62 D68:E68">
    <cfRule type="expression" dxfId="91" priority="42" stopIfTrue="1">
      <formula>$P$26=""</formula>
    </cfRule>
    <cfRule type="expression" dxfId="90" priority="43" stopIfTrue="1">
      <formula>IF(AND(OR($D$26="Yes",$D$26=""),D38=""),1,0)</formula>
    </cfRule>
  </conditionalFormatting>
  <conditionalFormatting sqref="G85:J85">
    <cfRule type="expression" dxfId="89" priority="36" stopIfTrue="1">
      <formula>IF(AND($D$85="Yes, using other format (describe)",$G$85=""),TRUE)</formula>
    </cfRule>
  </conditionalFormatting>
  <conditionalFormatting sqref="D39:E39 D51:E51 D57:E57 D63:E63 D69:E69">
    <cfRule type="expression" dxfId="88" priority="149" stopIfTrue="1">
      <formula>$P$39=""</formula>
    </cfRule>
    <cfRule type="expression" dxfId="87" priority="150" stopIfTrue="1">
      <formula>IF(AND(OR($D$27="Yes",$D$27=""),D39=""),1,0)</formula>
    </cfRule>
  </conditionalFormatting>
  <conditionalFormatting sqref="D33:E33">
    <cfRule type="expression" dxfId="86" priority="31" stopIfTrue="1">
      <formula>IF(AND(OR($D$27="Yes",$D$27=""),$D$33=""),1,0)</formula>
    </cfRule>
    <cfRule type="expression" dxfId="85" priority="32" stopIfTrue="1">
      <formula>$P$27=""</formula>
    </cfRule>
  </conditionalFormatting>
  <conditionalFormatting sqref="D34:E34">
    <cfRule type="expression" dxfId="84" priority="152" stopIfTrue="1">
      <formula>IF(AND(OR($D$28="Yes",$D$28=""),$D$34=""),1,0)</formula>
    </cfRule>
  </conditionalFormatting>
  <conditionalFormatting sqref="D41:E41 D53:E53 D59:E59 D65:E65 D71:E71">
    <cfRule type="expression" dxfId="83" priority="154" stopIfTrue="1">
      <formula>IF(AND(OR($D$29="Yes",$D$29=""),D41=""),1,0)</formula>
    </cfRule>
  </conditionalFormatting>
  <conditionalFormatting sqref="D35:E35">
    <cfRule type="expression" dxfId="82" priority="28" stopIfTrue="1">
      <formula>IF(AND(OR($D$29="Yes",$D$29=""),$D$35=""),1,0)</formula>
    </cfRule>
  </conditionalFormatting>
  <conditionalFormatting sqref="D46:E46">
    <cfRule type="expression" dxfId="80" priority="14" stopIfTrue="1">
      <formula>$P$28=""</formula>
    </cfRule>
  </conditionalFormatting>
  <conditionalFormatting sqref="D47:E47">
    <cfRule type="expression" dxfId="79" priority="22" stopIfTrue="1">
      <formula>$P$29=""</formula>
    </cfRule>
  </conditionalFormatting>
  <conditionalFormatting sqref="D44">
    <cfRule type="expression" dxfId="78" priority="16" stopIfTrue="1">
      <formula>$P$32=""</formula>
    </cfRule>
  </conditionalFormatting>
  <conditionalFormatting sqref="D45">
    <cfRule type="expression" dxfId="77" priority="15" stopIfTrue="1">
      <formula>$P$33=""</formula>
    </cfRule>
  </conditionalFormatting>
  <conditionalFormatting sqref="D46">
    <cfRule type="expression" dxfId="76" priority="12" stopIfTrue="1">
      <formula>$P$34=""</formula>
    </cfRule>
    <cfRule type="expression" dxfId="75" priority="21" stopIfTrue="1">
      <formula>IF(AND(OR($D$28="Yes",$D$28=""),D46=""),1,0)</formula>
    </cfRule>
  </conditionalFormatting>
  <conditionalFormatting sqref="D47">
    <cfRule type="expression" dxfId="74" priority="13" stopIfTrue="1">
      <formula>$P$35=""</formula>
    </cfRule>
  </conditionalFormatting>
  <conditionalFormatting sqref="D44:E44">
    <cfRule type="expression" dxfId="73" priority="17" stopIfTrue="1">
      <formula>$P$26=""</formula>
    </cfRule>
    <cfRule type="expression" dxfId="72" priority="18" stopIfTrue="1">
      <formula>IF(AND(OR($D$26="Yes",$D$26=""),D44=""),1,0)</formula>
    </cfRule>
  </conditionalFormatting>
  <conditionalFormatting sqref="D45:E45">
    <cfRule type="expression" dxfId="71" priority="19" stopIfTrue="1">
      <formula>$P$39=""</formula>
    </cfRule>
    <cfRule type="expression" dxfId="70" priority="20" stopIfTrue="1">
      <formula>IF(AND(OR($D$27="Yes",$D$27=""),D45=""),1,0)</formula>
    </cfRule>
  </conditionalFormatting>
  <conditionalFormatting sqref="D47:E47">
    <cfRule type="expression" dxfId="69" priority="23" stopIfTrue="1">
      <formula>IF(AND(OR($D$29="Yes",$D$29=""),D47=""),1,0)</formula>
    </cfRule>
  </conditionalFormatting>
  <conditionalFormatting sqref="D8:J8">
    <cfRule type="expression" dxfId="10" priority="11" stopIfTrue="1">
      <formula>IF($D$8="",TRUE)</formula>
    </cfRule>
  </conditionalFormatting>
  <conditionalFormatting sqref="D15:J15">
    <cfRule type="expression" dxfId="9" priority="10" stopIfTrue="1">
      <formula>IF($D$15="",TRUE)</formula>
    </cfRule>
  </conditionalFormatting>
  <conditionalFormatting sqref="D16:J16">
    <cfRule type="expression" dxfId="8" priority="8" stopIfTrue="1">
      <formula>IF($D$16="",TRUE)</formula>
    </cfRule>
  </conditionalFormatting>
  <conditionalFormatting sqref="D17:J17">
    <cfRule type="expression" dxfId="7" priority="9" stopIfTrue="1">
      <formula>IF($D$17="",TRUE)</formula>
    </cfRule>
  </conditionalFormatting>
  <conditionalFormatting sqref="D18:J18">
    <cfRule type="expression" dxfId="6" priority="7" stopIfTrue="1">
      <formula>IF($D$15="",TRUE)</formula>
    </cfRule>
  </conditionalFormatting>
  <conditionalFormatting sqref="D20:J20">
    <cfRule type="expression" dxfId="5" priority="6" stopIfTrue="1">
      <formula>IF($D$16="",TRUE)</formula>
    </cfRule>
  </conditionalFormatting>
  <conditionalFormatting sqref="D21:J21">
    <cfRule type="expression" dxfId="4" priority="5" stopIfTrue="1">
      <formula>IF($D$17="",TRUE)</formula>
    </cfRule>
  </conditionalFormatting>
  <conditionalFormatting sqref="D26:E26">
    <cfRule type="expression" dxfId="3" priority="4" stopIfTrue="1">
      <formula>IF($D$26="",TRUE)</formula>
    </cfRule>
  </conditionalFormatting>
  <conditionalFormatting sqref="D27:E27">
    <cfRule type="expression" dxfId="2" priority="3" stopIfTrue="1">
      <formula>IF($D$26="",TRUE)</formula>
    </cfRule>
  </conditionalFormatting>
  <conditionalFormatting sqref="D28:E28">
    <cfRule type="expression" dxfId="1" priority="2" stopIfTrue="1">
      <formula>IF($D$26="",TRUE)</formula>
    </cfRule>
  </conditionalFormatting>
  <conditionalFormatting sqref="D29:E29">
    <cfRule type="expression" dxfId="0" priority="1" stopIfTrue="1">
      <formula>IF($D$26="",TRUE)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A5" sqref="A5"/>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0" t="str">
        <f ca="1">OFFSET(L!$C$1,MATCH("Smelter List"&amp;ADDRESS(ROW(),COLUMN(),4),L!$A:$A,0)-1,SL,,)</f>
        <v>Link to "RMAP Conformant Smelter List"</v>
      </c>
      <c r="K2" s="441"/>
      <c r="L2" s="441"/>
      <c r="M2" s="441"/>
      <c r="N2" s="441"/>
      <c r="O2" s="441"/>
      <c r="P2" s="231"/>
      <c r="Q2" s="232"/>
      <c r="R2" s="233"/>
      <c r="S2" s="233"/>
      <c r="T2" s="233"/>
      <c r="U2" s="262"/>
      <c r="V2" s="262"/>
      <c r="W2" s="263"/>
      <c r="X2" s="262"/>
      <c r="Y2" s="262"/>
      <c r="Z2" s="262"/>
      <c r="AH2" s="174" t="s">
        <v>488</v>
      </c>
    </row>
    <row r="3" spans="1:34" s="264" customFormat="1" ht="273.95" customHeight="1">
      <c r="A3" s="202"/>
      <c r="B3" s="44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2"/>
      <c r="D3" s="442"/>
      <c r="E3" s="442"/>
      <c r="F3" s="265"/>
      <c r="G3" s="443" t="str">
        <f ca="1">OFFSET(L!$C$1,MATCH("General"&amp;"Cpy",L!$A:$A,0)-1,SL,,)</f>
        <v>© 2021 Responsible Minerals Initiative. All rights reserved.</v>
      </c>
      <c r="H3" s="443"/>
      <c r="I3" s="444"/>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c r="B5" s="215" t="str">
        <f>IF(LEN(A5)=0,"",INDEX('Smelter Look-up'!$A:$A,MATCH($A5,'Smelter Look-up'!$E:$E,0)))</f>
        <v/>
      </c>
      <c r="C5" s="219" t="str">
        <f>IF(LEN(A5)=0,"",INDEX('Smelter Look-up'!$C:$C,MATCH($A5,'Smelter Look-up'!$E:$E,0)))</f>
        <v/>
      </c>
      <c r="D5" s="278"/>
      <c r="E5" s="215" t="str">
        <f ca="1">IF(ISERROR($V5),"",OFFSET('Smelter Look-up'!$D$4,$V5-4,0)&amp;"")</f>
        <v/>
      </c>
      <c r="F5" s="215" t="str">
        <f ca="1">IF(ISERROR($V5),"",OFFSET('Smelter Look-up'!$E$4,$V5-4,0))</f>
        <v/>
      </c>
      <c r="G5" s="215" t="str">
        <f ca="1">IF(C5=$X$4,"Enter smelter details",IF(ISERROR($V5),"",OFFSET('Smelter Look-up'!$F$4,$V5-4,0)))</f>
        <v/>
      </c>
      <c r="H5" s="216" t="str">
        <f ca="1">IF(ISERROR($V5),"",OFFSET('Smelter Look-up'!$G$4,$V5-4,0))</f>
        <v/>
      </c>
      <c r="I5" s="217" t="str">
        <f ca="1">IF(ISERROR($V5),"",OFFSET('Smelter Look-up'!$H$4,$V5-4,0))</f>
        <v/>
      </c>
      <c r="J5" s="217" t="str">
        <f ca="1">IF(ISERROR($V5),"",OFFSET('Smelter Look-up'!$I$4,$V5-4,0))</f>
        <v/>
      </c>
      <c r="K5" s="268"/>
      <c r="L5" s="268"/>
      <c r="M5" s="268"/>
      <c r="N5" s="268"/>
      <c r="O5" s="268"/>
      <c r="P5" s="218"/>
      <c r="Q5" s="269"/>
      <c r="R5" s="215" t="str">
        <f ca="1">IF(ISERROR($V5),"",OFFSET('Smelter Look-up'!$C$4,$V5-4,0)&amp;"")</f>
        <v/>
      </c>
      <c r="S5" s="222" t="str">
        <f t="shared" ref="S5" ca="1" si="0">IF(B5="","",IF(ISERROR(MATCH($E5,CL,0)),"Unknown",INDIRECT("'C'!$A$"&amp;MATCH($E5,CL,0)+1)))</f>
        <v/>
      </c>
      <c r="T5" s="222" t="str">
        <f ca="1">IF(B5="","",IF(ISERROR(MATCH($J5,SorP!$B$1:$B$6230,0)),"",INDIRECT("'SorP'!$A$"&amp;MATCH($J5,SorP!$B$1:$B$6230,0))))</f>
        <v/>
      </c>
      <c r="U5" s="238"/>
      <c r="V5" s="270" t="e">
        <f>IF(C5="",NA(),MATCH($B5&amp;$C5,'Smelter Look-up'!$J:$J,0))</f>
        <v>#N/A</v>
      </c>
      <c r="W5" s="271"/>
      <c r="X5" s="271">
        <f t="shared" ref="X5" ca="1" si="1">IF(AND(C5="Smelter not listed",OR(LEN(D5)=0,LEN(E5)=0)),1,0)</f>
        <v>0</v>
      </c>
      <c r="Y5" s="271"/>
      <c r="Z5" s="271"/>
      <c r="AB5" s="273" t="str">
        <f t="shared" ref="AB5" si="2">B5&amp;C5</f>
        <v/>
      </c>
    </row>
    <row r="6" spans="1:34" s="272" customFormat="1" ht="20.100000000000001" customHeight="1">
      <c r="A6" s="324"/>
      <c r="B6" s="215" t="str">
        <f>IF(LEN(A6)=0,"",INDEX('Smelter Look-up'!$A:$A,MATCH($A6,'Smelter Look-up'!$E:$E,0)))</f>
        <v/>
      </c>
      <c r="C6" s="219" t="str">
        <f>IF(LEN(A6)=0,"",INDEX('Smelter Look-up'!$C:$C,MATCH($A6,'Smelter Look-up'!$E:$E,0)))</f>
        <v/>
      </c>
      <c r="D6" s="278"/>
      <c r="E6" s="215" t="str">
        <f ca="1">IF(ISERROR($V6),"",OFFSET('Smelter Look-up'!$D$4,$V6-4,0)&amp;"")</f>
        <v/>
      </c>
      <c r="F6" s="215" t="str">
        <f ca="1">IF(ISERROR($V6),"",OFFSET('Smelter Look-up'!$E$4,$V6-4,0))</f>
        <v/>
      </c>
      <c r="G6" s="215" t="str">
        <f ca="1">IF(C6=$X$4,"Enter smelter details",IF(ISERROR($V6),"",OFFSET('Smelter Look-up'!$F$4,$V6-4,0)))</f>
        <v/>
      </c>
      <c r="H6" s="216" t="str">
        <f ca="1">IF(ISERROR($V6),"",OFFSET('Smelter Look-up'!$G$4,$V6-4,0))</f>
        <v/>
      </c>
      <c r="I6" s="217" t="str">
        <f ca="1">IF(ISERROR($V6),"",OFFSET('Smelter Look-up'!$H$4,$V6-4,0))</f>
        <v/>
      </c>
      <c r="J6" s="217" t="str">
        <f ca="1">IF(ISERROR($V6),"",OFFSET('Smelter Look-up'!$I$4,$V6-4,0))</f>
        <v/>
      </c>
      <c r="K6" s="268"/>
      <c r="L6" s="268"/>
      <c r="M6" s="268"/>
      <c r="N6" s="268"/>
      <c r="O6" s="268"/>
      <c r="P6" s="218"/>
      <c r="Q6" s="269"/>
      <c r="R6" s="215" t="str">
        <f ca="1">IF(ISERROR($V6),"",OFFSET('Smelter Look-up'!$C$4,$V6-4,0)&amp;"")</f>
        <v/>
      </c>
      <c r="S6" s="222" t="str">
        <f t="shared" ref="S6:S37" ca="1" si="3">IF(B6="","",IF(ISERROR(MATCH($E6,CL,0)),"Unknown",INDIRECT("'C'!$A$"&amp;MATCH($E6,CL,0)+1)))</f>
        <v/>
      </c>
      <c r="T6" s="222" t="str">
        <f ca="1">IF(B6="","",IF(ISERROR(MATCH($J6,SorP!$B$1:$B$6230,0)),"",INDIRECT("'SorP'!$A$"&amp;MATCH($J6,SorP!$B$1:$B$6230,0))))</f>
        <v/>
      </c>
      <c r="U6" s="238"/>
      <c r="V6" s="270" t="e">
        <f>IF(C6="",NA(),MATCH($B6&amp;$C6,'Smelter Look-up'!$J:$J,0))</f>
        <v>#N/A</v>
      </c>
      <c r="W6" s="271"/>
      <c r="X6" s="271">
        <f t="shared" ref="X6:X37" ca="1" si="4">IF(AND(C6="Smelter not listed",OR(LEN(D6)=0,LEN(E6)=0)),1,0)</f>
        <v>0</v>
      </c>
      <c r="Y6" s="271"/>
      <c r="Z6" s="271"/>
      <c r="AB6" s="273" t="str">
        <f t="shared" ref="AB6:AB37" si="5">B6&amp;C6</f>
        <v/>
      </c>
    </row>
    <row r="7" spans="1:34" s="272" customFormat="1" ht="20.100000000000001" customHeight="1">
      <c r="A7" s="324"/>
      <c r="B7" s="215" t="str">
        <f>IF(LEN(A7)=0,"",INDEX('Smelter Look-up'!$A:$A,MATCH($A7,'Smelter Look-up'!$E:$E,0)))</f>
        <v/>
      </c>
      <c r="C7" s="219" t="str">
        <f>IF(LEN(A7)=0,"",INDEX('Smelter Look-up'!$C:$C,MATCH($A7,'Smelter Look-up'!$E:$E,0)))</f>
        <v/>
      </c>
      <c r="D7" s="278"/>
      <c r="E7" s="215" t="str">
        <f ca="1">IF(ISERROR($V7),"",OFFSET('Smelter Look-up'!$D$4,$V7-4,0)&amp;"")</f>
        <v/>
      </c>
      <c r="F7" s="215" t="str">
        <f ca="1">IF(ISERROR($V7),"",OFFSET('Smelter Look-up'!$E$4,$V7-4,0))</f>
        <v/>
      </c>
      <c r="G7" s="215" t="str">
        <f ca="1">IF(C7=$X$4,"Enter smelter details",IF(ISERROR($V7),"",OFFSET('Smelter Look-up'!$F$4,$V7-4,0)))</f>
        <v/>
      </c>
      <c r="H7" s="216" t="str">
        <f ca="1">IF(ISERROR($V7),"",OFFSET('Smelter Look-up'!$G$4,$V7-4,0))</f>
        <v/>
      </c>
      <c r="I7" s="217" t="str">
        <f ca="1">IF(ISERROR($V7),"",OFFSET('Smelter Look-up'!$H$4,$V7-4,0))</f>
        <v/>
      </c>
      <c r="J7" s="217" t="str">
        <f ca="1">IF(ISERROR($V7),"",OFFSET('Smelter Look-up'!$I$4,$V7-4,0))</f>
        <v/>
      </c>
      <c r="K7" s="268"/>
      <c r="L7" s="268"/>
      <c r="M7" s="268"/>
      <c r="N7" s="268"/>
      <c r="O7" s="268"/>
      <c r="P7" s="218"/>
      <c r="Q7" s="269"/>
      <c r="R7" s="215" t="str">
        <f ca="1">IF(ISERROR($V7),"",OFFSET('Smelter Look-up'!$C$4,$V7-4,0)&amp;"")</f>
        <v/>
      </c>
      <c r="S7" s="222" t="str">
        <f t="shared" ca="1" si="3"/>
        <v/>
      </c>
      <c r="T7" s="222" t="str">
        <f ca="1">IF(B7="","",IF(ISERROR(MATCH($J7,SorP!$B$1:$B$6230,0)),"",INDIRECT("'SorP'!$A$"&amp;MATCH($J7,SorP!$B$1:$B$6230,0))))</f>
        <v/>
      </c>
      <c r="U7" s="238"/>
      <c r="V7" s="270" t="e">
        <f>IF(C7="",NA(),MATCH($B7&amp;$C7,'Smelter Look-up'!$J:$J,0))</f>
        <v>#N/A</v>
      </c>
      <c r="W7" s="271"/>
      <c r="X7" s="271">
        <f t="shared" ca="1" si="4"/>
        <v>0</v>
      </c>
      <c r="Y7" s="271"/>
      <c r="Z7" s="271"/>
      <c r="AB7" s="273" t="str">
        <f t="shared" si="5"/>
        <v/>
      </c>
    </row>
    <row r="8" spans="1:34" s="272" customFormat="1" ht="20.100000000000001" customHeight="1">
      <c r="A8" s="324"/>
      <c r="B8" s="215" t="str">
        <f>IF(LEN(A8)=0,"",INDEX('Smelter Look-up'!$A:$A,MATCH($A8,'Smelter Look-up'!$E:$E,0)))</f>
        <v/>
      </c>
      <c r="C8" s="219" t="str">
        <f>IF(LEN(A8)=0,"",INDEX('Smelter Look-up'!$C:$C,MATCH($A8,'Smelter Look-up'!$E:$E,0)))</f>
        <v/>
      </c>
      <c r="D8" s="278"/>
      <c r="E8" s="215" t="str">
        <f ca="1">IF(ISERROR($V8),"",OFFSET('Smelter Look-up'!$D$4,$V8-4,0)&amp;"")</f>
        <v/>
      </c>
      <c r="F8" s="215" t="str">
        <f ca="1">IF(ISERROR($V8),"",OFFSET('Smelter Look-up'!$E$4,$V8-4,0))</f>
        <v/>
      </c>
      <c r="G8" s="215" t="str">
        <f ca="1">IF(C8=$X$4,"Enter smelter details",IF(ISERROR($V8),"",OFFSET('Smelter Look-up'!$F$4,$V8-4,0)))</f>
        <v/>
      </c>
      <c r="H8" s="216" t="str">
        <f ca="1">IF(ISERROR($V8),"",OFFSET('Smelter Look-up'!$G$4,$V8-4,0))</f>
        <v/>
      </c>
      <c r="I8" s="217" t="str">
        <f ca="1">IF(ISERROR($V8),"",OFFSET('Smelter Look-up'!$H$4,$V8-4,0))</f>
        <v/>
      </c>
      <c r="J8" s="217" t="str">
        <f ca="1">IF(ISERROR($V8),"",OFFSET('Smelter Look-up'!$I$4,$V8-4,0))</f>
        <v/>
      </c>
      <c r="K8" s="268"/>
      <c r="L8" s="268"/>
      <c r="M8" s="268"/>
      <c r="N8" s="268"/>
      <c r="O8" s="268"/>
      <c r="P8" s="218"/>
      <c r="Q8" s="269"/>
      <c r="R8" s="215" t="str">
        <f ca="1">IF(ISERROR($V8),"",OFFSET('Smelter Look-up'!$C$4,$V8-4,0)&amp;"")</f>
        <v/>
      </c>
      <c r="S8" s="222" t="str">
        <f t="shared" ca="1" si="3"/>
        <v/>
      </c>
      <c r="T8" s="222" t="str">
        <f ca="1">IF(B8="","",IF(ISERROR(MATCH($J8,SorP!$B$1:$B$6230,0)),"",INDIRECT("'SorP'!$A$"&amp;MATCH($J8,SorP!$B$1:$B$6230,0))))</f>
        <v/>
      </c>
      <c r="U8" s="238"/>
      <c r="V8" s="270" t="e">
        <f>IF(C8="",NA(),MATCH($B8&amp;$C8,'Smelter Look-up'!$J:$J,0))</f>
        <v>#N/A</v>
      </c>
      <c r="W8" s="271"/>
      <c r="X8" s="271">
        <f t="shared" ca="1" si="4"/>
        <v>0</v>
      </c>
      <c r="Y8" s="271"/>
      <c r="Z8" s="271"/>
      <c r="AB8" s="273" t="str">
        <f t="shared" si="5"/>
        <v/>
      </c>
    </row>
    <row r="9" spans="1:34" s="272" customFormat="1" ht="20.100000000000001" customHeight="1">
      <c r="A9" s="324"/>
      <c r="B9" s="215" t="str">
        <f>IF(LEN(A9)=0,"",INDEX('Smelter Look-up'!$A:$A,MATCH($A9,'Smelter Look-up'!$E:$E,0)))</f>
        <v/>
      </c>
      <c r="C9" s="219" t="str">
        <f>IF(LEN(A9)=0,"",INDEX('Smelter Look-up'!$C:$C,MATCH($A9,'Smelter Look-up'!$E:$E,0)))</f>
        <v/>
      </c>
      <c r="D9" s="278"/>
      <c r="E9" s="215" t="str">
        <f ca="1">IF(ISERROR($V9),"",OFFSET('Smelter Look-up'!$D$4,$V9-4,0)&amp;"")</f>
        <v/>
      </c>
      <c r="F9" s="215" t="str">
        <f ca="1">IF(ISERROR($V9),"",OFFSET('Smelter Look-up'!$E$4,$V9-4,0))</f>
        <v/>
      </c>
      <c r="G9" s="215" t="str">
        <f ca="1">IF(C9=$X$4,"Enter smelter details",IF(ISERROR($V9),"",OFFSET('Smelter Look-up'!$F$4,$V9-4,0)))</f>
        <v/>
      </c>
      <c r="H9" s="216" t="str">
        <f ca="1">IF(ISERROR($V9),"",OFFSET('Smelter Look-up'!$G$4,$V9-4,0))</f>
        <v/>
      </c>
      <c r="I9" s="217" t="str">
        <f ca="1">IF(ISERROR($V9),"",OFFSET('Smelter Look-up'!$H$4,$V9-4,0))</f>
        <v/>
      </c>
      <c r="J9" s="217" t="str">
        <f ca="1">IF(ISERROR($V9),"",OFFSET('Smelter Look-up'!$I$4,$V9-4,0))</f>
        <v/>
      </c>
      <c r="K9" s="268"/>
      <c r="L9" s="268"/>
      <c r="M9" s="268"/>
      <c r="N9" s="268"/>
      <c r="O9" s="268"/>
      <c r="P9" s="218"/>
      <c r="Q9" s="269"/>
      <c r="R9" s="215" t="str">
        <f ca="1">IF(ISERROR($V9),"",OFFSET('Smelter Look-up'!$C$4,$V9-4,0)&amp;"")</f>
        <v/>
      </c>
      <c r="S9" s="222" t="str">
        <f t="shared" ca="1" si="3"/>
        <v/>
      </c>
      <c r="T9" s="222" t="str">
        <f ca="1">IF(B9="","",IF(ISERROR(MATCH($J9,SorP!$B$1:$B$6230,0)),"",INDIRECT("'SorP'!$A$"&amp;MATCH($J9,SorP!$B$1:$B$6230,0))))</f>
        <v/>
      </c>
      <c r="U9" s="238"/>
      <c r="V9" s="270" t="e">
        <f>IF(C9="",NA(),MATCH($B9&amp;$C9,'Smelter Look-up'!$J:$J,0))</f>
        <v>#N/A</v>
      </c>
      <c r="W9" s="271"/>
      <c r="X9" s="271">
        <f t="shared" ca="1" si="4"/>
        <v>0</v>
      </c>
      <c r="Y9" s="271"/>
      <c r="Z9" s="271"/>
      <c r="AB9" s="273" t="str">
        <f t="shared" si="5"/>
        <v/>
      </c>
    </row>
    <row r="10" spans="1:34" s="272" customFormat="1" ht="20.100000000000001" customHeight="1">
      <c r="A10" s="324"/>
      <c r="B10" s="215" t="str">
        <f>IF(LEN(A10)=0,"",INDEX('Smelter Look-up'!$A:$A,MATCH($A10,'Smelter Look-up'!$E:$E,0)))</f>
        <v/>
      </c>
      <c r="C10" s="219" t="str">
        <f>IF(LEN(A10)=0,"",INDEX('Smelter Look-up'!$C:$C,MATCH($A10,'Smelter Look-up'!$E:$E,0)))</f>
        <v/>
      </c>
      <c r="D10" s="278"/>
      <c r="E10" s="215" t="str">
        <f ca="1">IF(ISERROR($V10),"",OFFSET('Smelter Look-up'!$D$4,$V10-4,0)&amp;"")</f>
        <v/>
      </c>
      <c r="F10" s="215" t="str">
        <f ca="1">IF(ISERROR($V10),"",OFFSET('Smelter Look-up'!$E$4,$V10-4,0))</f>
        <v/>
      </c>
      <c r="G10" s="215" t="str">
        <f ca="1">IF(C10=$X$4,"Enter smelter details",IF(ISERROR($V10),"",OFFSET('Smelter Look-up'!$F$4,$V10-4,0)))</f>
        <v/>
      </c>
      <c r="H10" s="216" t="str">
        <f ca="1">IF(ISERROR($V10),"",OFFSET('Smelter Look-up'!$G$4,$V10-4,0))</f>
        <v/>
      </c>
      <c r="I10" s="217" t="str">
        <f ca="1">IF(ISERROR($V10),"",OFFSET('Smelter Look-up'!$H$4,$V10-4,0))</f>
        <v/>
      </c>
      <c r="J10" s="217" t="str">
        <f ca="1">IF(ISERROR($V10),"",OFFSET('Smelter Look-up'!$I$4,$V10-4,0))</f>
        <v/>
      </c>
      <c r="K10" s="268"/>
      <c r="L10" s="268"/>
      <c r="M10" s="268"/>
      <c r="N10" s="268"/>
      <c r="O10" s="268"/>
      <c r="P10" s="218"/>
      <c r="Q10" s="269"/>
      <c r="R10" s="215" t="str">
        <f ca="1">IF(ISERROR($V10),"",OFFSET('Smelter Look-up'!$C$4,$V10-4,0)&amp;"")</f>
        <v/>
      </c>
      <c r="S10" s="222" t="str">
        <f t="shared" ca="1" si="3"/>
        <v/>
      </c>
      <c r="T10" s="222" t="str">
        <f ca="1">IF(B10="","",IF(ISERROR(MATCH($J10,SorP!$B$1:$B$6230,0)),"",INDIRECT("'SorP'!$A$"&amp;MATCH($J10,SorP!$B$1:$B$6230,0))))</f>
        <v/>
      </c>
      <c r="U10" s="238"/>
      <c r="V10" s="270" t="e">
        <f>IF(C10="",NA(),MATCH($B10&amp;$C10,'Smelter Look-up'!$J:$J,0))</f>
        <v>#N/A</v>
      </c>
      <c r="W10" s="271"/>
      <c r="X10" s="271">
        <f t="shared" ca="1" si="4"/>
        <v>0</v>
      </c>
      <c r="Y10" s="271"/>
      <c r="Z10" s="271"/>
      <c r="AB10" s="273" t="str">
        <f t="shared" si="5"/>
        <v/>
      </c>
    </row>
    <row r="11" spans="1:34" s="272" customFormat="1" ht="20.100000000000001" customHeight="1">
      <c r="A11" s="324"/>
      <c r="B11" s="215" t="str">
        <f>IF(LEN(A11)=0,"",INDEX('Smelter Look-up'!$A:$A,MATCH($A11,'Smelter Look-up'!$E:$E,0)))</f>
        <v/>
      </c>
      <c r="C11" s="219" t="str">
        <f>IF(LEN(A11)=0,"",INDEX('Smelter Look-up'!$C:$C,MATCH($A11,'Smelter Look-up'!$E:$E,0)))</f>
        <v/>
      </c>
      <c r="D11" s="278"/>
      <c r="E11" s="215" t="str">
        <f ca="1">IF(ISERROR($V11),"",OFFSET('Smelter Look-up'!$D$4,$V11-4,0)&amp;"")</f>
        <v/>
      </c>
      <c r="F11" s="215" t="str">
        <f ca="1">IF(ISERROR($V11),"",OFFSET('Smelter Look-up'!$E$4,$V11-4,0))</f>
        <v/>
      </c>
      <c r="G11" s="215" t="str">
        <f ca="1">IF(C11=$X$4,"Enter smelter details",IF(ISERROR($V11),"",OFFSET('Smelter Look-up'!$F$4,$V11-4,0)))</f>
        <v/>
      </c>
      <c r="H11" s="216" t="str">
        <f ca="1">IF(ISERROR($V11),"",OFFSET('Smelter Look-up'!$G$4,$V11-4,0))</f>
        <v/>
      </c>
      <c r="I11" s="217" t="str">
        <f ca="1">IF(ISERROR($V11),"",OFFSET('Smelter Look-up'!$H$4,$V11-4,0))</f>
        <v/>
      </c>
      <c r="J11" s="217" t="str">
        <f ca="1">IF(ISERROR($V11),"",OFFSET('Smelter Look-up'!$I$4,$V11-4,0))</f>
        <v/>
      </c>
      <c r="K11" s="268"/>
      <c r="L11" s="268"/>
      <c r="M11" s="268"/>
      <c r="N11" s="268"/>
      <c r="O11" s="268"/>
      <c r="P11" s="218"/>
      <c r="Q11" s="269"/>
      <c r="R11" s="215" t="str">
        <f ca="1">IF(ISERROR($V11),"",OFFSET('Smelter Look-up'!$C$4,$V11-4,0)&amp;"")</f>
        <v/>
      </c>
      <c r="S11" s="222" t="str">
        <f t="shared" ca="1" si="3"/>
        <v/>
      </c>
      <c r="T11" s="222" t="str">
        <f ca="1">IF(B11="","",IF(ISERROR(MATCH($J11,SorP!$B$1:$B$6230,0)),"",INDIRECT("'SorP'!$A$"&amp;MATCH($J11,SorP!$B$1:$B$6230,0))))</f>
        <v/>
      </c>
      <c r="U11" s="238"/>
      <c r="V11" s="270" t="e">
        <f>IF(C11="",NA(),MATCH($B11&amp;$C11,'Smelter Look-up'!$J:$J,0))</f>
        <v>#N/A</v>
      </c>
      <c r="W11" s="271"/>
      <c r="X11" s="271">
        <f t="shared" ca="1" si="4"/>
        <v>0</v>
      </c>
      <c r="Y11" s="271"/>
      <c r="Z11" s="271"/>
      <c r="AB11" s="273" t="str">
        <f t="shared" si="5"/>
        <v/>
      </c>
    </row>
    <row r="12" spans="1:34" s="272" customFormat="1" ht="20.100000000000001" customHeight="1">
      <c r="A12" s="324"/>
      <c r="B12" s="215" t="str">
        <f>IF(LEN(A12)=0,"",INDEX('Smelter Look-up'!$A:$A,MATCH($A12,'Smelter Look-up'!$E:$E,0)))</f>
        <v/>
      </c>
      <c r="C12" s="219" t="str">
        <f>IF(LEN(A12)=0,"",INDEX('Smelter Look-up'!$C:$C,MATCH($A12,'Smelter Look-up'!$E:$E,0)))</f>
        <v/>
      </c>
      <c r="D12" s="278"/>
      <c r="E12" s="215" t="str">
        <f ca="1">IF(ISERROR($V12),"",OFFSET('Smelter Look-up'!$D$4,$V12-4,0)&amp;"")</f>
        <v/>
      </c>
      <c r="F12" s="215" t="str">
        <f ca="1">IF(ISERROR($V12),"",OFFSET('Smelter Look-up'!$E$4,$V12-4,0))</f>
        <v/>
      </c>
      <c r="G12" s="215" t="str">
        <f ca="1">IF(C12=$X$4,"Enter smelter details",IF(ISERROR($V12),"",OFFSET('Smelter Look-up'!$F$4,$V12-4,0)))</f>
        <v/>
      </c>
      <c r="H12" s="216" t="str">
        <f ca="1">IF(ISERROR($V12),"",OFFSET('Smelter Look-up'!$G$4,$V12-4,0))</f>
        <v/>
      </c>
      <c r="I12" s="217" t="str">
        <f ca="1">IF(ISERROR($V12),"",OFFSET('Smelter Look-up'!$H$4,$V12-4,0))</f>
        <v/>
      </c>
      <c r="J12" s="217" t="str">
        <f ca="1">IF(ISERROR($V12),"",OFFSET('Smelter Look-up'!$I$4,$V12-4,0))</f>
        <v/>
      </c>
      <c r="K12" s="268"/>
      <c r="L12" s="268"/>
      <c r="M12" s="268"/>
      <c r="N12" s="268"/>
      <c r="O12" s="268"/>
      <c r="P12" s="218"/>
      <c r="Q12" s="269"/>
      <c r="R12" s="215" t="str">
        <f ca="1">IF(ISERROR($V12),"",OFFSET('Smelter Look-up'!$C$4,$V12-4,0)&amp;"")</f>
        <v/>
      </c>
      <c r="S12" s="222" t="str">
        <f t="shared" ca="1" si="3"/>
        <v/>
      </c>
      <c r="T12" s="222" t="str">
        <f ca="1">IF(B12="","",IF(ISERROR(MATCH($J12,SorP!$B$1:$B$6230,0)),"",INDIRECT("'SorP'!$A$"&amp;MATCH($J12,SorP!$B$1:$B$6230,0))))</f>
        <v/>
      </c>
      <c r="U12" s="238"/>
      <c r="V12" s="270" t="e">
        <f>IF(C12="",NA(),MATCH($B12&amp;$C12,'Smelter Look-up'!$J:$J,0))</f>
        <v>#N/A</v>
      </c>
      <c r="W12" s="271"/>
      <c r="X12" s="271">
        <f t="shared" ca="1" si="4"/>
        <v>0</v>
      </c>
      <c r="Y12" s="271"/>
      <c r="Z12" s="271"/>
      <c r="AB12" s="273" t="str">
        <f t="shared" si="5"/>
        <v/>
      </c>
    </row>
    <row r="13" spans="1:34" s="272" customFormat="1" ht="20.100000000000001" customHeight="1">
      <c r="A13" s="324"/>
      <c r="B13" s="215" t="str">
        <f>IF(LEN(A13)=0,"",INDEX('Smelter Look-up'!$A:$A,MATCH($A13,'Smelter Look-up'!$E:$E,0)))</f>
        <v/>
      </c>
      <c r="C13" s="219" t="str">
        <f>IF(LEN(A13)=0,"",INDEX('Smelter Look-up'!$C:$C,MATCH($A13,'Smelter Look-up'!$E:$E,0)))</f>
        <v/>
      </c>
      <c r="D13" s="278"/>
      <c r="E13" s="215" t="str">
        <f ca="1">IF(ISERROR($V13),"",OFFSET('Smelter Look-up'!$D$4,$V13-4,0)&amp;"")</f>
        <v/>
      </c>
      <c r="F13" s="215" t="str">
        <f ca="1">IF(ISERROR($V13),"",OFFSET('Smelter Look-up'!$E$4,$V13-4,0))</f>
        <v/>
      </c>
      <c r="G13" s="215" t="str">
        <f ca="1">IF(C13=$X$4,"Enter smelter details",IF(ISERROR($V13),"",OFFSET('Smelter Look-up'!$F$4,$V13-4,0)))</f>
        <v/>
      </c>
      <c r="H13" s="216" t="str">
        <f ca="1">IF(ISERROR($V13),"",OFFSET('Smelter Look-up'!$G$4,$V13-4,0))</f>
        <v/>
      </c>
      <c r="I13" s="217" t="str">
        <f ca="1">IF(ISERROR($V13),"",OFFSET('Smelter Look-up'!$H$4,$V13-4,0))</f>
        <v/>
      </c>
      <c r="J13" s="217" t="str">
        <f ca="1">IF(ISERROR($V13),"",OFFSET('Smelter Look-up'!$I$4,$V13-4,0))</f>
        <v/>
      </c>
      <c r="K13" s="268"/>
      <c r="L13" s="268"/>
      <c r="M13" s="268"/>
      <c r="N13" s="268"/>
      <c r="O13" s="268"/>
      <c r="P13" s="218"/>
      <c r="Q13" s="269"/>
      <c r="R13" s="215" t="str">
        <f ca="1">IF(ISERROR($V13),"",OFFSET('Smelter Look-up'!$C$4,$V13-4,0)&amp;"")</f>
        <v/>
      </c>
      <c r="S13" s="222" t="str">
        <f t="shared" ca="1" si="3"/>
        <v/>
      </c>
      <c r="T13" s="222" t="str">
        <f ca="1">IF(B13="","",IF(ISERROR(MATCH($J13,SorP!$B$1:$B$6230,0)),"",INDIRECT("'SorP'!$A$"&amp;MATCH($J13,SorP!$B$1:$B$6230,0))))</f>
        <v/>
      </c>
      <c r="U13" s="238"/>
      <c r="V13" s="270" t="e">
        <f>IF(C13="",NA(),MATCH($B13&amp;$C13,'Smelter Look-up'!$J:$J,0))</f>
        <v>#N/A</v>
      </c>
      <c r="W13" s="271"/>
      <c r="X13" s="271">
        <f t="shared" ca="1" si="4"/>
        <v>0</v>
      </c>
      <c r="Y13" s="271"/>
      <c r="Z13" s="271"/>
      <c r="AB13" s="273" t="str">
        <f t="shared" si="5"/>
        <v/>
      </c>
    </row>
    <row r="14" spans="1:34" s="272" customFormat="1" ht="20.100000000000001" customHeight="1">
      <c r="A14" s="324"/>
      <c r="B14" s="215" t="str">
        <f>IF(LEN(A14)=0,"",INDEX('Smelter Look-up'!$A:$A,MATCH($A14,'Smelter Look-up'!$E:$E,0)))</f>
        <v/>
      </c>
      <c r="C14" s="219" t="str">
        <f>IF(LEN(A14)=0,"",INDEX('Smelter Look-up'!$C:$C,MATCH($A14,'Smelter Look-up'!$E:$E,0)))</f>
        <v/>
      </c>
      <c r="D14" s="278"/>
      <c r="E14" s="215" t="str">
        <f ca="1">IF(ISERROR($V14),"",OFFSET('Smelter Look-up'!$D$4,$V14-4,0)&amp;"")</f>
        <v/>
      </c>
      <c r="F14" s="215" t="str">
        <f ca="1">IF(ISERROR($V14),"",OFFSET('Smelter Look-up'!$E$4,$V14-4,0))</f>
        <v/>
      </c>
      <c r="G14" s="215" t="str">
        <f ca="1">IF(C14=$X$4,"Enter smelter details",IF(ISERROR($V14),"",OFFSET('Smelter Look-up'!$F$4,$V14-4,0)))</f>
        <v/>
      </c>
      <c r="H14" s="216" t="str">
        <f ca="1">IF(ISERROR($V14),"",OFFSET('Smelter Look-up'!$G$4,$V14-4,0))</f>
        <v/>
      </c>
      <c r="I14" s="217" t="str">
        <f ca="1">IF(ISERROR($V14),"",OFFSET('Smelter Look-up'!$H$4,$V14-4,0))</f>
        <v/>
      </c>
      <c r="J14" s="217" t="str">
        <f ca="1">IF(ISERROR($V14),"",OFFSET('Smelter Look-up'!$I$4,$V14-4,0))</f>
        <v/>
      </c>
      <c r="K14" s="268"/>
      <c r="L14" s="268"/>
      <c r="M14" s="268"/>
      <c r="N14" s="268"/>
      <c r="O14" s="268"/>
      <c r="P14" s="218"/>
      <c r="Q14" s="269"/>
      <c r="R14" s="215" t="str">
        <f ca="1">IF(ISERROR($V14),"",OFFSET('Smelter Look-up'!$C$4,$V14-4,0)&amp;"")</f>
        <v/>
      </c>
      <c r="S14" s="222" t="str">
        <f t="shared" ca="1" si="3"/>
        <v/>
      </c>
      <c r="T14" s="222" t="str">
        <f ca="1">IF(B14="","",IF(ISERROR(MATCH($J14,SorP!$B$1:$B$6230,0)),"",INDIRECT("'SorP'!$A$"&amp;MATCH($J14,SorP!$B$1:$B$6230,0))))</f>
        <v/>
      </c>
      <c r="U14" s="238"/>
      <c r="V14" s="270" t="e">
        <f>IF(C14="",NA(),MATCH($B14&amp;$C14,'Smelter Look-up'!$J:$J,0))</f>
        <v>#N/A</v>
      </c>
      <c r="W14" s="271"/>
      <c r="X14" s="271">
        <f t="shared" ca="1" si="4"/>
        <v>0</v>
      </c>
      <c r="Y14" s="271"/>
      <c r="Z14" s="271"/>
      <c r="AB14" s="273" t="str">
        <f t="shared" si="5"/>
        <v/>
      </c>
    </row>
    <row r="15" spans="1:34" s="272" customFormat="1" ht="20.100000000000001" customHeight="1">
      <c r="A15" s="324"/>
      <c r="B15" s="215" t="str">
        <f>IF(LEN(A15)=0,"",INDEX('Smelter Look-up'!$A:$A,MATCH($A15,'Smelter Look-up'!$E:$E,0)))</f>
        <v/>
      </c>
      <c r="C15" s="219" t="str">
        <f>IF(LEN(A15)=0,"",INDEX('Smelter Look-up'!$C:$C,MATCH($A15,'Smelter Look-up'!$E:$E,0)))</f>
        <v/>
      </c>
      <c r="D15" s="278"/>
      <c r="E15" s="215" t="str">
        <f ca="1">IF(ISERROR($V15),"",OFFSET('Smelter Look-up'!$D$4,$V15-4,0)&amp;"")</f>
        <v/>
      </c>
      <c r="F15" s="215" t="str">
        <f ca="1">IF(ISERROR($V15),"",OFFSET('Smelter Look-up'!$E$4,$V15-4,0))</f>
        <v/>
      </c>
      <c r="G15" s="215" t="str">
        <f ca="1">IF(C15=$X$4,"Enter smelter details",IF(ISERROR($V15),"",OFFSET('Smelter Look-up'!$F$4,$V15-4,0)))</f>
        <v/>
      </c>
      <c r="H15" s="216" t="str">
        <f ca="1">IF(ISERROR($V15),"",OFFSET('Smelter Look-up'!$G$4,$V15-4,0))</f>
        <v/>
      </c>
      <c r="I15" s="217" t="str">
        <f ca="1">IF(ISERROR($V15),"",OFFSET('Smelter Look-up'!$H$4,$V15-4,0))</f>
        <v/>
      </c>
      <c r="J15" s="217" t="str">
        <f ca="1">IF(ISERROR($V15),"",OFFSET('Smelter Look-up'!$I$4,$V15-4,0))</f>
        <v/>
      </c>
      <c r="K15" s="268"/>
      <c r="L15" s="268"/>
      <c r="M15" s="268"/>
      <c r="N15" s="268"/>
      <c r="O15" s="268"/>
      <c r="P15" s="218"/>
      <c r="Q15" s="269"/>
      <c r="R15" s="215" t="str">
        <f ca="1">IF(ISERROR($V15),"",OFFSET('Smelter Look-up'!$C$4,$V15-4,0)&amp;"")</f>
        <v/>
      </c>
      <c r="S15" s="222" t="str">
        <f t="shared" ca="1" si="3"/>
        <v/>
      </c>
      <c r="T15" s="222" t="str">
        <f ca="1">IF(B15="","",IF(ISERROR(MATCH($J15,SorP!$B$1:$B$6230,0)),"",INDIRECT("'SorP'!$A$"&amp;MATCH($J15,SorP!$B$1:$B$6230,0))))</f>
        <v/>
      </c>
      <c r="U15" s="238"/>
      <c r="V15" s="270" t="e">
        <f>IF(C15="",NA(),MATCH($B15&amp;$C15,'Smelter Look-up'!$J:$J,0))</f>
        <v>#N/A</v>
      </c>
      <c r="W15" s="271"/>
      <c r="X15" s="271">
        <f t="shared" ca="1" si="4"/>
        <v>0</v>
      </c>
      <c r="Y15" s="271"/>
      <c r="Z15" s="271"/>
      <c r="AB15" s="273" t="str">
        <f t="shared" si="5"/>
        <v/>
      </c>
    </row>
    <row r="16" spans="1:34" s="272" customFormat="1" ht="20.100000000000001" customHeight="1">
      <c r="A16" s="324"/>
      <c r="B16" s="215" t="str">
        <f>IF(LEN(A16)=0,"",INDEX('Smelter Look-up'!$A:$A,MATCH($A16,'Smelter Look-up'!$E:$E,0)))</f>
        <v/>
      </c>
      <c r="C16" s="219" t="str">
        <f>IF(LEN(A16)=0,"",INDEX('Smelter Look-up'!$C:$C,MATCH($A16,'Smelter Look-up'!$E:$E,0)))</f>
        <v/>
      </c>
      <c r="D16" s="278"/>
      <c r="E16" s="215" t="str">
        <f ca="1">IF(ISERROR($V16),"",OFFSET('Smelter Look-up'!$D$4,$V16-4,0)&amp;"")</f>
        <v/>
      </c>
      <c r="F16" s="215" t="str">
        <f ca="1">IF(ISERROR($V16),"",OFFSET('Smelter Look-up'!$E$4,$V16-4,0))</f>
        <v/>
      </c>
      <c r="G16" s="215" t="str">
        <f ca="1">IF(C16=$X$4,"Enter smelter details",IF(ISERROR($V16),"",OFFSET('Smelter Look-up'!$F$4,$V16-4,0)))</f>
        <v/>
      </c>
      <c r="H16" s="216" t="str">
        <f ca="1">IF(ISERROR($V16),"",OFFSET('Smelter Look-up'!$G$4,$V16-4,0))</f>
        <v/>
      </c>
      <c r="I16" s="217" t="str">
        <f ca="1">IF(ISERROR($V16),"",OFFSET('Smelter Look-up'!$H$4,$V16-4,0))</f>
        <v/>
      </c>
      <c r="J16" s="217" t="str">
        <f ca="1">IF(ISERROR($V16),"",OFFSET('Smelter Look-up'!$I$4,$V16-4,0))</f>
        <v/>
      </c>
      <c r="K16" s="268"/>
      <c r="L16" s="268"/>
      <c r="M16" s="268"/>
      <c r="N16" s="268"/>
      <c r="O16" s="268"/>
      <c r="P16" s="218"/>
      <c r="Q16" s="269"/>
      <c r="R16" s="215" t="str">
        <f ca="1">IF(ISERROR($V16),"",OFFSET('Smelter Look-up'!$C$4,$V16-4,0)&amp;"")</f>
        <v/>
      </c>
      <c r="S16" s="222" t="str">
        <f t="shared" ca="1" si="3"/>
        <v/>
      </c>
      <c r="T16" s="222" t="str">
        <f ca="1">IF(B16="","",IF(ISERROR(MATCH($J16,SorP!$B$1:$B$6230,0)),"",INDIRECT("'SorP'!$A$"&amp;MATCH($J16,SorP!$B$1:$B$6230,0))))</f>
        <v/>
      </c>
      <c r="U16" s="238"/>
      <c r="V16" s="270" t="e">
        <f>IF(C16="",NA(),MATCH($B16&amp;$C16,'Smelter Look-up'!$J:$J,0))</f>
        <v>#N/A</v>
      </c>
      <c r="W16" s="271"/>
      <c r="X16" s="271">
        <f t="shared" ca="1" si="4"/>
        <v>0</v>
      </c>
      <c r="Y16" s="271"/>
      <c r="Z16" s="271"/>
      <c r="AB16" s="273" t="str">
        <f t="shared" si="5"/>
        <v/>
      </c>
    </row>
    <row r="17" spans="1:28" s="272" customFormat="1" ht="20.100000000000001" customHeight="1">
      <c r="A17" s="324"/>
      <c r="B17" s="215" t="str">
        <f>IF(LEN(A17)=0,"",INDEX('Smelter Look-up'!$A:$A,MATCH($A17,'Smelter Look-up'!$E:$E,0)))</f>
        <v/>
      </c>
      <c r="C17" s="219" t="str">
        <f>IF(LEN(A17)=0,"",INDEX('Smelter Look-up'!$C:$C,MATCH($A17,'Smelter Look-up'!$E:$E,0)))</f>
        <v/>
      </c>
      <c r="D17" s="278"/>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68"/>
      <c r="L17" s="268"/>
      <c r="M17" s="268"/>
      <c r="N17" s="268"/>
      <c r="O17" s="268"/>
      <c r="P17" s="218"/>
      <c r="Q17" s="269"/>
      <c r="R17" s="215" t="str">
        <f ca="1">IF(ISERROR($V17),"",OFFSET('Smelter Look-up'!$C$4,$V17-4,0)&amp;"")</f>
        <v/>
      </c>
      <c r="S17" s="222" t="str">
        <f t="shared" ca="1" si="3"/>
        <v/>
      </c>
      <c r="T17" s="222" t="str">
        <f ca="1">IF(B17="","",IF(ISERROR(MATCH($J17,SorP!$B$1:$B$6230,0)),"",INDIRECT("'SorP'!$A$"&amp;MATCH($J17,SorP!$B$1:$B$6230,0))))</f>
        <v/>
      </c>
      <c r="U17" s="238"/>
      <c r="V17" s="270" t="e">
        <f>IF(C17="",NA(),MATCH($B17&amp;$C17,'Smelter Look-up'!$J:$J,0))</f>
        <v>#N/A</v>
      </c>
      <c r="W17" s="271"/>
      <c r="X17" s="271">
        <f t="shared" ca="1" si="4"/>
        <v>0</v>
      </c>
      <c r="Y17" s="271"/>
      <c r="Z17" s="271"/>
      <c r="AB17" s="273" t="str">
        <f t="shared" si="5"/>
        <v/>
      </c>
    </row>
    <row r="18" spans="1:28" s="272" customFormat="1" ht="20.100000000000001" customHeight="1">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3"/>
        <v/>
      </c>
      <c r="T18" s="222" t="str">
        <f ca="1">IF(B18="","",IF(ISERROR(MATCH($J18,SorP!$B$1:$B$6230,0)),"",INDIRECT("'SorP'!$A$"&amp;MATCH($J18,SorP!$B$1:$B$6230,0))))</f>
        <v/>
      </c>
      <c r="U18" s="238"/>
      <c r="V18" s="270" t="e">
        <f>IF(C18="",NA(),MATCH($B18&amp;$C18,'Smelter Look-up'!$J:$J,0))</f>
        <v>#N/A</v>
      </c>
      <c r="W18" s="271"/>
      <c r="X18" s="271">
        <f t="shared" ca="1" si="4"/>
        <v>0</v>
      </c>
      <c r="Y18" s="271"/>
      <c r="Z18" s="271"/>
      <c r="AB18" s="273" t="str">
        <f t="shared" si="5"/>
        <v/>
      </c>
    </row>
    <row r="19" spans="1:28" s="272" customFormat="1" ht="20.25">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3"/>
        <v/>
      </c>
      <c r="T19" s="222" t="str">
        <f ca="1">IF(B19="","",IF(ISERROR(MATCH($J19,SorP!$B$1:$B$6230,0)),"",INDIRECT("'SorP'!$A$"&amp;MATCH($J19,SorP!$B$1:$B$6230,0))))</f>
        <v/>
      </c>
      <c r="U19" s="238"/>
      <c r="V19" s="270" t="e">
        <f>IF(C19="",NA(),MATCH($B19&amp;$C19,'Smelter Look-up'!$J:$J,0))</f>
        <v>#N/A</v>
      </c>
      <c r="W19" s="271"/>
      <c r="X19" s="271">
        <f t="shared" ca="1" si="4"/>
        <v>0</v>
      </c>
      <c r="Y19" s="271"/>
      <c r="Z19" s="271"/>
      <c r="AB19" s="273" t="str">
        <f t="shared" si="5"/>
        <v/>
      </c>
    </row>
    <row r="20" spans="1:28" s="272" customFormat="1" ht="20.25">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ca="1" si="4"/>
        <v>0</v>
      </c>
      <c r="Y20" s="271"/>
      <c r="Z20" s="271"/>
      <c r="AB20" s="273" t="str">
        <f t="shared" si="5"/>
        <v/>
      </c>
    </row>
    <row r="21" spans="1:28" s="272" customFormat="1" ht="20.25">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25">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25">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25">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25">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25">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25">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25">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25">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25">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25">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25">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25">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25">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25">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25">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25">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25">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25">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25">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25">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68" priority="38" stopIfTrue="1">
      <formula>IF(B586="",TRUE)</formula>
    </cfRule>
    <cfRule type="expression" dxfId="67" priority="49" stopIfTrue="1">
      <formula>IF(AND(COUNTIF(MetalSmelter,B586&amp;C586)=0,LEN(C586)&gt;0),TRUE,FALSE)</formula>
    </cfRule>
  </conditionalFormatting>
  <conditionalFormatting sqref="D586:D2504">
    <cfRule type="expression" dxfId="66" priority="32" stopIfTrue="1">
      <formula>IF(AND(LEN($C586)&gt;0,($C586&lt;&gt;"Smelter Not Listed")),1,0)</formula>
    </cfRule>
    <cfRule type="expression" dxfId="65" priority="57" stopIfTrue="1">
      <formula>IF(AND(D586="",$C586=$X$4),TRUE)</formula>
    </cfRule>
    <cfRule type="expression" dxfId="64" priority="58" stopIfTrue="1">
      <formula>IF(FIND("!",D586),TRUE)</formula>
    </cfRule>
  </conditionalFormatting>
  <conditionalFormatting sqref="G586:G2504">
    <cfRule type="expression" dxfId="63" priority="59" stopIfTrue="1">
      <formula>IF(FIND("Enter smelter details",G586),TRUE)</formula>
    </cfRule>
  </conditionalFormatting>
  <conditionalFormatting sqref="R586:R2505 E586:E2504">
    <cfRule type="expression" dxfId="62" priority="45" stopIfTrue="1">
      <formula>IF(AND(E586="",$C586=$X$4),TRUE)</formula>
    </cfRule>
    <cfRule type="expression" dxfId="61" priority="46" stopIfTrue="1">
      <formula>IF(FIND("!",E586),TRUE)</formula>
    </cfRule>
  </conditionalFormatting>
  <conditionalFormatting sqref="F586:F2504">
    <cfRule type="expression" dxfId="60" priority="36" stopIfTrue="1">
      <formula>IF(AND(LEN($A586)&gt;0,$A586&lt;&gt;$F586),TRUE,FALSE)</formula>
    </cfRule>
  </conditionalFormatting>
  <conditionalFormatting sqref="C586:C2504">
    <cfRule type="expression" dxfId="59" priority="35" stopIfTrue="1">
      <formula>IF(AND(B586&lt;&gt;"",C586=""),TRUE)</formula>
    </cfRule>
  </conditionalFormatting>
  <conditionalFormatting sqref="B21:B585 B5:B19">
    <cfRule type="expression" dxfId="58" priority="14" stopIfTrue="1">
      <formula>IF(B5="",TRUE)</formula>
    </cfRule>
    <cfRule type="expression" dxfId="57" priority="17" stopIfTrue="1">
      <formula>IF(AND(COUNTIF(MetalSmelter,B5&amp;C5)=0,LEN(C5)&gt;0),TRUE,FALSE)</formula>
    </cfRule>
  </conditionalFormatting>
  <conditionalFormatting sqref="D5:D19 D21:D585">
    <cfRule type="expression" dxfId="56" priority="11" stopIfTrue="1">
      <formula>IF(AND(LEN($C5)&gt;0,($C5&lt;&gt;"Smelter Not Listed")),1,0)</formula>
    </cfRule>
    <cfRule type="expression" dxfId="55" priority="18" stopIfTrue="1">
      <formula>IF(AND(D5="",$C5=$X$4),TRUE)</formula>
    </cfRule>
    <cfRule type="expression" dxfId="54" priority="19" stopIfTrue="1">
      <formula>IF(FIND("!",D5),TRUE)</formula>
    </cfRule>
  </conditionalFormatting>
  <conditionalFormatting sqref="G5:G19 G21:G585">
    <cfRule type="expression" dxfId="53" priority="20" stopIfTrue="1">
      <formula>IF(FIND("Enter smelter details",G5),TRUE)</formula>
    </cfRule>
  </conditionalFormatting>
  <conditionalFormatting sqref="R5:R585 E5:E19 E21:E585">
    <cfRule type="expression" dxfId="52" priority="15" stopIfTrue="1">
      <formula>IF(AND(E5="",$C5=$X$4),TRUE)</formula>
    </cfRule>
    <cfRule type="expression" dxfId="51" priority="16" stopIfTrue="1">
      <formula>IF(FIND("!",E5),TRUE)</formula>
    </cfRule>
  </conditionalFormatting>
  <conditionalFormatting sqref="F5:F19 F21:F585">
    <cfRule type="expression" dxfId="50" priority="13" stopIfTrue="1">
      <formula>IF(AND(LEN($A5)&gt;0,$A5&lt;&gt;$F5),TRUE,FALSE)</formula>
    </cfRule>
  </conditionalFormatting>
  <conditionalFormatting sqref="C21:C585 C5:C19">
    <cfRule type="expression" dxfId="49" priority="12" stopIfTrue="1">
      <formula>IF(AND(B5&lt;&gt;"",C5=""),TRUE)</formula>
    </cfRule>
  </conditionalFormatting>
  <conditionalFormatting sqref="B20">
    <cfRule type="expression" dxfId="48" priority="4" stopIfTrue="1">
      <formula>IF(B20="",TRUE)</formula>
    </cfRule>
    <cfRule type="expression" dxfId="47" priority="7" stopIfTrue="1">
      <formula>IF(AND(COUNTIF(MetalSmelter,B20&amp;C20)=0,LEN(C20)&gt;0),TRUE,FALSE)</formula>
    </cfRule>
  </conditionalFormatting>
  <conditionalFormatting sqref="D20">
    <cfRule type="expression" dxfId="46" priority="1" stopIfTrue="1">
      <formula>IF(AND(LEN($C20)&gt;0,($C20&lt;&gt;"Smelter Not Listed")),1,0)</formula>
    </cfRule>
    <cfRule type="expression" dxfId="45" priority="8" stopIfTrue="1">
      <formula>IF(AND(D20="",$C20=$X$4),TRUE)</formula>
    </cfRule>
    <cfRule type="expression" dxfId="44" priority="9" stopIfTrue="1">
      <formula>IF(FIND("!",D20),TRUE)</formula>
    </cfRule>
  </conditionalFormatting>
  <conditionalFormatting sqref="G20">
    <cfRule type="expression" dxfId="43" priority="10" stopIfTrue="1">
      <formula>IF(FIND("Enter smelter details",G20),TRUE)</formula>
    </cfRule>
  </conditionalFormatting>
  <conditionalFormatting sqref="E20">
    <cfRule type="expression" dxfId="42" priority="5" stopIfTrue="1">
      <formula>IF(AND(E20="",$C20=$X$4),TRUE)</formula>
    </cfRule>
    <cfRule type="expression" dxfId="41" priority="6" stopIfTrue="1">
      <formula>IF(FIND("!",E20),TRUE)</formula>
    </cfRule>
  </conditionalFormatting>
  <conditionalFormatting sqref="F20">
    <cfRule type="expression" dxfId="40" priority="3" stopIfTrue="1">
      <formula>IF(AND(LEN($A20)&gt;0,$A20&lt;&gt;$F20),TRUE,FALSE)</formula>
    </cfRule>
  </conditionalFormatting>
  <conditionalFormatting sqref="C20">
    <cfRule type="expression" dxfId="39"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45" t="str">
        <f ca="1">OFFSET(L!$C$1,MATCH("Checker"&amp;ADDRESS(ROW(),COLUMN(),4),L!$A:$A,0)-1,SL,,)</f>
        <v>To ensure all required fields have been populated before submitting to your customers review form for any line items highlighted in red</v>
      </c>
      <c r="B1" s="445"/>
      <c r="C1" s="445"/>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Wieland Chase, LLC</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B. Product (or List of Products)</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Go to Product List tab to enter products this declaration applies to</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Jack Horner</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jack.horner@wieland.com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(419) 485-8967</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Larry Muller</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larry.muller@wieland.com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44409</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 xml:space="preserve">Tin  </v>
      </c>
      <c r="B15" s="102" t="str">
        <f>Declaration!D27</f>
        <v>No</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 xml:space="preserve">Tin  </v>
      </c>
      <c r="B20" s="102">
        <f>IF($B$15="Yes",Declaration!D33,0)</f>
        <v>0</v>
      </c>
      <c r="C20" s="102" t="str">
        <f ca="1">IF(H20=1,J20,I20)</f>
        <v>Complete</v>
      </c>
      <c r="D20" s="110" t="str">
        <f>IF(H20=1,"Click here to answer question 2 for Tin","")</f>
        <v/>
      </c>
      <c r="E20" s="84" t="s">
        <v>807</v>
      </c>
      <c r="F20" s="107">
        <f>IF(B$15="No",0,1)</f>
        <v>0</v>
      </c>
      <c r="G20" s="81">
        <f>IF(B20=0,1,0)</f>
        <v>1</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807</v>
      </c>
      <c r="F21" s="107">
        <f>IF(B$16="No",0,1)</f>
        <v>0</v>
      </c>
      <c r="G21" s="81">
        <f>IF(B21=0,1,0)</f>
        <v>1</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 xml:space="preserve">Tin  </v>
      </c>
      <c r="B25" s="102">
        <f>IF(AND($B$15="Yes",$B$20="Yes"),Declaration!D39,0)</f>
        <v>0</v>
      </c>
      <c r="C25" s="102" t="str">
        <f ca="1">IF(H25=1,J25,I25)</f>
        <v>Complete</v>
      </c>
      <c r="D25" s="110" t="str">
        <f>IF(H25=1,"Click here to answer question 3 for Tin","")</f>
        <v/>
      </c>
      <c r="E25" s="84" t="s">
        <v>807</v>
      </c>
      <c r="F25" s="107">
        <f>IF(OR(B15="No",B20="No"),0,1)</f>
        <v>0</v>
      </c>
      <c r="G25" s="81">
        <f>IF(B25=0,1,0)</f>
        <v>1</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807</v>
      </c>
      <c r="F26" s="107">
        <f>IF(OR(B16="No",B21="No"),0,1)</f>
        <v>0</v>
      </c>
      <c r="G26" s="81">
        <f>IF(B26=0,1,0)</f>
        <v>1</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 xml:space="preserve">Tin  </v>
      </c>
      <c r="B30" s="102">
        <f>IF(AND($B$15="Yes",$B$20="Yes"),Declaration!D45,0)</f>
        <v>0</v>
      </c>
      <c r="C30" s="102" t="str">
        <f ca="1">IF(H30=1,J30,I30)</f>
        <v>Complete</v>
      </c>
      <c r="D30" s="322" t="str">
        <f>IF(H30=1,"Click here to answer question 4 for Tin","")</f>
        <v/>
      </c>
      <c r="E30" s="84"/>
      <c r="F30" s="107">
        <f>F25</f>
        <v>0</v>
      </c>
      <c r="G30" s="81">
        <f>IF(B30=0,1,0)</f>
        <v>1</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22" t="str">
        <f>IF(H31=1,"Click here to answer question 4 for Gold","")</f>
        <v/>
      </c>
      <c r="E31" s="84"/>
      <c r="F31" s="107">
        <f>F26</f>
        <v>0</v>
      </c>
      <c r="G31" s="81">
        <f>IF(B31=0,1,0)</f>
        <v>1</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 xml:space="preserve">5) Does 100 percent of the 3TG (necessary to the functionality or production of your products) originate from recycled or scrap sources? </v>
      </c>
      <c r="B33" s="105"/>
      <c r="C33" s="105"/>
      <c r="D33" s="109"/>
      <c r="E33" s="84" t="s">
        <v>1307</v>
      </c>
      <c r="F33" s="106"/>
      <c r="G33" s="24"/>
      <c r="H33" s="24"/>
      <c r="J33" s="178"/>
    </row>
    <row r="34" spans="1:10" ht="51">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 xml:space="preserve">Tin  </v>
      </c>
      <c r="B35" s="102">
        <f>IF(AND($B$15="Yes",$B$20="Yes"),Declaration!D51,0)</f>
        <v>0</v>
      </c>
      <c r="C35" s="102" t="str">
        <f ca="1">IF(H35=1,J35,I35)</f>
        <v>Complete</v>
      </c>
      <c r="D35" s="322" t="str">
        <f>IF(H35=1,"Click here to answer question 5 for Tin","")</f>
        <v/>
      </c>
      <c r="E35" s="84" t="s">
        <v>1307</v>
      </c>
      <c r="F35" s="107">
        <f>F25</f>
        <v>0</v>
      </c>
      <c r="G35" s="81">
        <f>IF(B35=0,1,0)</f>
        <v>1</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22" t="str">
        <f>IF(H36=1,"Click here to answer question 5 for Gold","")</f>
        <v/>
      </c>
      <c r="E36" s="84" t="s">
        <v>1307</v>
      </c>
      <c r="F36" s="107">
        <f>F26</f>
        <v>0</v>
      </c>
      <c r="G36" s="81">
        <f>IF(B36=0,1,0)</f>
        <v>1</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 xml:space="preserve">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 xml:space="preserve">Tin  </v>
      </c>
      <c r="B40" s="341">
        <f>IF(AND($B$15="Yes",$B$20="Yes"),Declaration!D57,0)</f>
        <v>0</v>
      </c>
      <c r="C40" s="102" t="str">
        <f ca="1">IF(H40=1,J40,I40)</f>
        <v>Complete</v>
      </c>
      <c r="D40" s="323" t="str">
        <f>IF(H40=1,"Click here to answer question 6 for Tin","")</f>
        <v/>
      </c>
      <c r="E40" s="84" t="s">
        <v>806</v>
      </c>
      <c r="F40" s="107">
        <f>F25</f>
        <v>0</v>
      </c>
      <c r="G40" s="81">
        <f>IF(B40=0,1,0)</f>
        <v>1</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341">
        <f>IF(AND($B$16="Yes",$B$21="Yes"),Declaration!D58,0)</f>
        <v>0</v>
      </c>
      <c r="C41" s="102" t="str">
        <f ca="1">IF(H41=1,J41,I41)</f>
        <v>Complete</v>
      </c>
      <c r="D41" s="323" t="str">
        <f>IF(H41=1,"Click here to answer question 6 for Gold","")</f>
        <v/>
      </c>
      <c r="E41" s="84" t="s">
        <v>806</v>
      </c>
      <c r="F41" s="107">
        <f>F26</f>
        <v>0</v>
      </c>
      <c r="G41" s="81">
        <f>IF(B41=0,1,0)</f>
        <v>1</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 xml:space="preserve">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 xml:space="preserve">Tin  </v>
      </c>
      <c r="B45" s="102">
        <f>IF(AND($B$15="Yes",$B$20="Yes"),Declaration!D63,0)</f>
        <v>0</v>
      </c>
      <c r="C45" s="102" t="str">
        <f ca="1">IF(H45=1,J45,I45)</f>
        <v>Complete</v>
      </c>
      <c r="D45" s="322" t="str">
        <f>IF(H45=1,"Click here to answer question 7 for Tin","")</f>
        <v/>
      </c>
      <c r="E45" s="84" t="s">
        <v>1303</v>
      </c>
      <c r="F45" s="107">
        <f>F25</f>
        <v>0</v>
      </c>
      <c r="G45" s="81">
        <f>IF(B45=0,1,0)</f>
        <v>1</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22" t="str">
        <f>IF(H46=1,"Click here to answer question 7 for Gold","")</f>
        <v/>
      </c>
      <c r="E46" s="84" t="s">
        <v>1303</v>
      </c>
      <c r="F46" s="107">
        <f>F26</f>
        <v>0</v>
      </c>
      <c r="G46" s="81">
        <f>IF(B46=0,1,0)</f>
        <v>1</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 xml:space="preserve">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 xml:space="preserve">Tin  </v>
      </c>
      <c r="B50" s="102">
        <f>IF(AND($B$15="Yes",$B$20="Yes"),Declaration!D69,0)</f>
        <v>0</v>
      </c>
      <c r="C50" s="102" t="str">
        <f ca="1">IF(H50=1,J50,I50)</f>
        <v>Complete</v>
      </c>
      <c r="D50" s="323" t="str">
        <f>IF(H50=1,"Click here to answer question 8 for Tin","")</f>
        <v/>
      </c>
      <c r="E50" s="84" t="s">
        <v>807</v>
      </c>
      <c r="F50" s="107">
        <f>F25</f>
        <v>0</v>
      </c>
      <c r="G50" s="81">
        <f>IF(B50=0,1,0)</f>
        <v>1</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23" t="str">
        <f>IF(H51=1,"Click here to answer question 8 for Gold","")</f>
        <v/>
      </c>
      <c r="E51" s="84" t="s">
        <v>807</v>
      </c>
      <c r="F51" s="107">
        <f>F26</f>
        <v>0</v>
      </c>
      <c r="G51" s="81">
        <f>IF(B51=0,1,0)</f>
        <v>1</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v>
      </c>
      <c r="B54" s="102" t="str">
        <f>Declaration!D75</f>
        <v>Yes</v>
      </c>
      <c r="C54" s="102" t="str">
        <f t="shared" ref="C54:C60" ca="1" si="10">IF(H54=1,J54,I54)</f>
        <v>Complete</v>
      </c>
      <c r="D54" s="108" t="str">
        <f>IF(H54=1,"Click here to answer question (A)","")</f>
        <v/>
      </c>
      <c r="E54" s="84" t="s">
        <v>1307</v>
      </c>
      <c r="F54" s="107">
        <f>IF(SUM(F$24:F$27)=0,0,1)</f>
        <v>0</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t="str">
        <f>Declaration!D77</f>
        <v>No</v>
      </c>
      <c r="C55" s="102" t="str">
        <f t="shared" ca="1" si="10"/>
        <v>Complete</v>
      </c>
      <c r="D55" s="108" t="str">
        <f>IF(H55=1,"Click here to answer question (B)","")</f>
        <v/>
      </c>
      <c r="E55" s="84" t="s">
        <v>1307</v>
      </c>
      <c r="F55" s="107">
        <f t="shared" ref="F55" si="12">F$54</f>
        <v>0</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v>
      </c>
      <c r="B57" s="102" t="str">
        <f>Declaration!D79</f>
        <v>No</v>
      </c>
      <c r="C57" s="102" t="str">
        <f t="shared" ca="1" si="10"/>
        <v>Complete</v>
      </c>
      <c r="D57" s="108" t="str">
        <f>IF(H57=1,"Click here to answer question (C)","")</f>
        <v/>
      </c>
      <c r="E57" s="84" t="s">
        <v>1307</v>
      </c>
      <c r="F57" s="107">
        <f>F$54</f>
        <v>0</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v>
      </c>
      <c r="B58" s="102" t="str">
        <f>Declaration!D81</f>
        <v>No</v>
      </c>
      <c r="C58" s="102" t="str">
        <f t="shared" ca="1" si="10"/>
        <v>Complete</v>
      </c>
      <c r="D58" s="108" t="str">
        <f>IF(H58=1,"Click here to answer question (D)","")</f>
        <v/>
      </c>
      <c r="E58" s="84" t="s">
        <v>1307</v>
      </c>
      <c r="F58" s="107">
        <f>F$54</f>
        <v>0</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v>
      </c>
      <c r="B59" s="102" t="str">
        <f>Declaration!D83</f>
        <v>No</v>
      </c>
      <c r="C59" s="102" t="str">
        <f t="shared" ca="1" si="10"/>
        <v>Complete</v>
      </c>
      <c r="D59" s="108" t="str">
        <f>IF(H59=1,"Click here to answer question (E)","")</f>
        <v/>
      </c>
      <c r="E59" s="84" t="s">
        <v>1307</v>
      </c>
      <c r="F59" s="107">
        <f>F$54</f>
        <v>0</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v>
      </c>
      <c r="B60" s="102" t="str">
        <f>Declaration!D85</f>
        <v>No</v>
      </c>
      <c r="C60" s="102" t="str">
        <f t="shared" ca="1" si="10"/>
        <v>Complete</v>
      </c>
      <c r="D60" s="108" t="str">
        <f>IF(H60=1,"Click here to answer question (F)","")</f>
        <v/>
      </c>
      <c r="E60" s="84" t="s">
        <v>1307</v>
      </c>
      <c r="F60" s="107">
        <f>F$54</f>
        <v>0</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v>
      </c>
      <c r="B62" s="102" t="str">
        <f>Declaration!D87</f>
        <v>No</v>
      </c>
      <c r="C62" s="102" t="str">
        <f t="shared" ref="C62:C68" ca="1" si="13">IF(H62=1,J62,I62)</f>
        <v>Complete</v>
      </c>
      <c r="D62" s="108" t="str">
        <f>IF(H62=1,"Click here to answer question (G)","")</f>
        <v/>
      </c>
      <c r="E62" s="84" t="s">
        <v>1307</v>
      </c>
      <c r="F62" s="107">
        <f>F$54</f>
        <v>0</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v>
      </c>
      <c r="B63" s="102" t="str">
        <f>Declaration!D89</f>
        <v>No</v>
      </c>
      <c r="C63" s="102" t="str">
        <f t="shared" ca="1" si="13"/>
        <v>Complete</v>
      </c>
      <c r="D63" s="108" t="str">
        <f>IF(H63=1,"Click here to answer question (H)","")</f>
        <v/>
      </c>
      <c r="E63" s="84" t="s">
        <v>1307</v>
      </c>
      <c r="F63" s="107">
        <f>F$54</f>
        <v>0</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One or more product / item numbers have been provided</v>
      </c>
      <c r="C64" s="102" t="str">
        <f t="shared" ca="1" si="13"/>
        <v>Complete</v>
      </c>
      <c r="D64" s="108" t="str">
        <f>IF(H64=1,"Click here to enter detail on Product List tab","")</f>
        <v/>
      </c>
      <c r="E64" s="84" t="s">
        <v>1307</v>
      </c>
      <c r="F64" s="107">
        <f>IF(B5=Declaration!Q9,1,0)</f>
        <v>1</v>
      </c>
      <c r="G64" s="81">
        <f>IF('Product List'!B6="",1,0)</f>
        <v>0</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0</v>
      </c>
      <c r="G65" s="81">
        <f>IF(AND(COUNTIF(SmelterIdetifiedForMetal,"Tantalum")&gt;0,COUNTIF('Smelter List'!AB$5:AB$2504,"Tantalum?*")&gt;0),0,1)</f>
        <v>1</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0</v>
      </c>
      <c r="G66" s="81">
        <f>IF(AND(COUNTIF(SmelterIdetifiedForMetal,"Tin")&gt;0,COUNTIF('Smelter List'!AB$5:AB$2504,"Tin?*")&gt;0),0,1)</f>
        <v>1</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0</v>
      </c>
      <c r="G67" s="81">
        <f>IF(AND(COUNTIF(SmelterIdetifiedForMetal,"Gold")&gt;0,COUNTIF('Smelter List'!AB$5:AB$2504,"Gold?*")&gt;0),0,1)</f>
        <v>1</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0</v>
      </c>
      <c r="G68" s="81">
        <f>IF(AND(COUNTIF(SmelterIdetifiedForMetal,"Tungsten")&gt;0,COUNTIF('Smelter List'!AB$5:AB$2504,"Tungsten?*")&gt;0),0,1)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38" priority="358" stopIfTrue="1">
      <formula>$H$56=0</formula>
    </cfRule>
  </conditionalFormatting>
  <conditionalFormatting sqref="B66">
    <cfRule type="expression" dxfId="37" priority="39" stopIfTrue="1">
      <formula>IF(F66=0,TRUE)</formula>
    </cfRule>
  </conditionalFormatting>
  <conditionalFormatting sqref="B67">
    <cfRule type="expression" dxfId="36" priority="35" stopIfTrue="1">
      <formula>IF(F67=0,TRUE)</formula>
    </cfRule>
  </conditionalFormatting>
  <conditionalFormatting sqref="B68:B69">
    <cfRule type="expression" dxfId="35" priority="31" stopIfTrue="1">
      <formula>IF(F68=0,TRUE)</formula>
    </cfRule>
  </conditionalFormatting>
  <conditionalFormatting sqref="C69">
    <cfRule type="expression" dxfId="34" priority="13" stopIfTrue="1">
      <formula>C69="Not Required"</formula>
    </cfRule>
    <cfRule type="expression" dxfId="33" priority="21" stopIfTrue="1">
      <formula>OR(C69="Complete",C69="填写",C69="記入",C69="완료",C69="Complétez",C69="Concluído",C69="Vollständig",C69="Completare",C69="Doldurun")</formula>
    </cfRule>
  </conditionalFormatting>
  <conditionalFormatting sqref="A69">
    <cfRule type="expression" dxfId="32" priority="14" stopIfTrue="1">
      <formula>C69="Not Required"</formula>
    </cfRule>
    <cfRule type="expression" dxfId="31"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30" priority="347" stopIfTrue="1">
      <formula>$F4=0</formula>
    </cfRule>
    <cfRule type="expression" dxfId="29" priority="348" stopIfTrue="1">
      <formula>$H4=0</formula>
    </cfRule>
    <cfRule type="expression" dxfId="28" priority="349" stopIfTrue="1">
      <formula>$H4=1</formula>
    </cfRule>
  </conditionalFormatting>
  <conditionalFormatting sqref="C69 A69">
    <cfRule type="expression" dxfId="27" priority="11" stopIfTrue="1">
      <formula>IF(AND($F$69=1,$G$69=1),TRUE,FALSE)</formula>
    </cfRule>
  </conditionalFormatting>
  <conditionalFormatting sqref="A29:A32">
    <cfRule type="expression" dxfId="26" priority="2" stopIfTrue="1">
      <formula>$F29=0</formula>
    </cfRule>
    <cfRule type="expression" dxfId="25" priority="3" stopIfTrue="1">
      <formula>$H29=0</formula>
    </cfRule>
    <cfRule type="expression" dxfId="24" priority="4" stopIfTrue="1">
      <formula>$H29=1</formula>
    </cfRule>
  </conditionalFormatting>
  <conditionalFormatting sqref="B65">
    <cfRule type="expression" dxfId="23" priority="1" stopIfTrue="1">
      <formula>IF(F65=0,TRUE)</formula>
    </cfRule>
  </conditionalFormatting>
  <conditionalFormatting sqref="A5:A13">
    <cfRule type="expression" dxfId="22" priority="49" stopIfTrue="1">
      <formula>$F5=0</formula>
    </cfRule>
    <cfRule type="expression" dxfId="21" priority="50" stopIfTrue="1">
      <formula>AND($F5=1,$G5=0)</formula>
    </cfRule>
    <cfRule type="expression" dxfId="20"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5" sqref="C15"/>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7" t="str">
        <f ca="1">OFFSET(L!$C$1,MATCH("Product List"&amp;ADDRESS(ROW(),COLUMN(),4),L!$A:$A,0)-1,SL,,)</f>
        <v>Completion required only if reporting level "Product (or List of Products)" selected on the 'Declaration' worksheet.</v>
      </c>
      <c r="B1" s="448"/>
      <c r="C1" s="448"/>
      <c r="D1" s="448"/>
      <c r="E1" s="145"/>
    </row>
    <row r="2" spans="1:6">
      <c r="A2" s="29"/>
      <c r="B2" s="147"/>
      <c r="C2" s="147"/>
      <c r="D2"/>
      <c r="E2" s="30"/>
    </row>
    <row r="3" spans="1:6">
      <c r="A3" s="29"/>
      <c r="B3" s="147"/>
      <c r="C3" s="147"/>
      <c r="D3" s="147"/>
      <c r="E3" s="30"/>
    </row>
    <row r="4" spans="1:6" ht="15.75" customHeight="1">
      <c r="A4" s="29"/>
      <c r="B4" s="446" t="s">
        <v>898</v>
      </c>
      <c r="C4" s="446"/>
      <c r="D4" s="446"/>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31.5">
      <c r="A6" s="157"/>
      <c r="B6" s="111" t="s">
        <v>15607</v>
      </c>
      <c r="C6" s="111" t="s">
        <v>15626</v>
      </c>
      <c r="D6" s="111" t="s">
        <v>15608</v>
      </c>
      <c r="E6" s="32"/>
      <c r="F6"/>
    </row>
    <row r="7" spans="1:6" s="33" customFormat="1" ht="31.5">
      <c r="A7" s="158"/>
      <c r="B7" s="111" t="s">
        <v>15609</v>
      </c>
      <c r="C7" s="111" t="s">
        <v>15630</v>
      </c>
      <c r="D7" s="111" t="s">
        <v>15610</v>
      </c>
      <c r="E7" s="32"/>
      <c r="F7"/>
    </row>
    <row r="8" spans="1:6" s="33" customFormat="1" ht="31.5">
      <c r="A8" s="158"/>
      <c r="B8" s="111" t="s">
        <v>15611</v>
      </c>
      <c r="C8" s="111" t="s">
        <v>15629</v>
      </c>
      <c r="D8" s="111" t="s">
        <v>15610</v>
      </c>
      <c r="E8" s="32"/>
      <c r="F8"/>
    </row>
    <row r="9" spans="1:6" s="33" customFormat="1" ht="31.5">
      <c r="A9" s="158"/>
      <c r="B9" s="111" t="s">
        <v>15612</v>
      </c>
      <c r="C9" s="111" t="s">
        <v>15628</v>
      </c>
      <c r="D9" s="111" t="s">
        <v>15610</v>
      </c>
      <c r="E9" s="32"/>
      <c r="F9"/>
    </row>
    <row r="10" spans="1:6" s="33" customFormat="1" ht="31.5">
      <c r="A10" s="158"/>
      <c r="B10" s="111" t="s">
        <v>15613</v>
      </c>
      <c r="C10" s="111" t="s">
        <v>15627</v>
      </c>
      <c r="D10" s="111" t="s">
        <v>15614</v>
      </c>
      <c r="E10" s="32"/>
      <c r="F10"/>
    </row>
    <row r="11" spans="1:6" s="33" customFormat="1" ht="31.5">
      <c r="A11" s="158"/>
      <c r="B11" s="111" t="s">
        <v>15615</v>
      </c>
      <c r="C11" s="111" t="s">
        <v>15631</v>
      </c>
      <c r="D11" s="111" t="s">
        <v>15614</v>
      </c>
      <c r="E11" s="32"/>
      <c r="F11"/>
    </row>
    <row r="12" spans="1:6" s="33" customFormat="1" ht="31.5">
      <c r="A12" s="158"/>
      <c r="B12" s="111" t="s">
        <v>15616</v>
      </c>
      <c r="C12" s="111" t="s">
        <v>15617</v>
      </c>
      <c r="D12" s="111" t="s">
        <v>15614</v>
      </c>
      <c r="E12" s="32"/>
      <c r="F12"/>
    </row>
    <row r="13" spans="1:6" s="33" customFormat="1" ht="47.25">
      <c r="A13" s="158"/>
      <c r="B13" s="111" t="s">
        <v>15618</v>
      </c>
      <c r="C13" s="111" t="s">
        <v>15619</v>
      </c>
      <c r="D13" s="111" t="s">
        <v>15620</v>
      </c>
      <c r="E13" s="32"/>
      <c r="F13"/>
    </row>
    <row r="14" spans="1:6" s="33" customFormat="1" ht="47.25">
      <c r="A14" s="158"/>
      <c r="B14" s="354" t="s">
        <v>15621</v>
      </c>
      <c r="C14" s="111" t="s">
        <v>15632</v>
      </c>
      <c r="D14" s="111" t="s">
        <v>15622</v>
      </c>
      <c r="E14" s="32"/>
      <c r="F14"/>
    </row>
    <row r="15" spans="1:6" s="33" customFormat="1" ht="47.25">
      <c r="A15" s="158"/>
      <c r="B15" s="354" t="s">
        <v>15623</v>
      </c>
      <c r="C15" s="111" t="s">
        <v>15634</v>
      </c>
      <c r="D15" s="111" t="s">
        <v>15622</v>
      </c>
      <c r="E15" s="32"/>
      <c r="F15"/>
    </row>
    <row r="16" spans="1:6" s="33" customFormat="1" ht="47.25">
      <c r="A16" s="158"/>
      <c r="B16" s="354" t="s">
        <v>15624</v>
      </c>
      <c r="C16" s="111" t="s">
        <v>15633</v>
      </c>
      <c r="D16" s="111" t="s">
        <v>15625</v>
      </c>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9" t="str">
        <f ca="1">OFFSET(L!$C$1,MATCH("General"&amp;"Cpy",L!$A:$A,0)-1,SL,,)</f>
        <v>© 2021 Responsible Minerals Initiative. All rights reserved.</v>
      </c>
      <c r="C1001" s="449"/>
      <c r="D1001" s="449"/>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0"/>
      <c r="C1" s="450"/>
      <c r="D1" s="450"/>
      <c r="E1" s="450"/>
      <c r="F1" s="450"/>
      <c r="G1" s="450"/>
    </row>
    <row r="2" spans="1:16">
      <c r="A2" s="451"/>
      <c r="B2" s="451"/>
      <c r="C2" s="451"/>
      <c r="D2" s="451"/>
      <c r="E2" s="451"/>
      <c r="F2" s="451"/>
      <c r="G2" s="451"/>
      <c r="H2" s="451"/>
      <c r="I2" s="451"/>
    </row>
    <row r="3" spans="1:16">
      <c r="A3" s="451"/>
      <c r="B3" s="451"/>
      <c r="C3" s="451"/>
      <c r="D3" s="451"/>
      <c r="E3" s="451"/>
      <c r="F3" s="451"/>
      <c r="G3" s="451"/>
      <c r="H3" s="451"/>
      <c r="I3" s="451"/>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19" priority="25" stopIfTrue="1" operator="equal">
      <formula>"Yes"</formula>
    </cfRule>
  </conditionalFormatting>
  <conditionalFormatting sqref="K5">
    <cfRule type="cellIs" dxfId="18" priority="9" stopIfTrue="1" operator="equal">
      <formula>"Yes"</formula>
    </cfRule>
  </conditionalFormatting>
  <conditionalFormatting sqref="J292:J293">
    <cfRule type="cellIs" dxfId="17" priority="7" stopIfTrue="1" operator="equal">
      <formula>"Yes"</formula>
    </cfRule>
  </conditionalFormatting>
  <conditionalFormatting sqref="J354:J355">
    <cfRule type="cellIs" dxfId="16" priority="6" stopIfTrue="1" operator="equal">
      <formula>"Yes"</formula>
    </cfRule>
  </conditionalFormatting>
  <conditionalFormatting sqref="J486:J487">
    <cfRule type="cellIs" dxfId="15" priority="5" stopIfTrue="1" operator="equal">
      <formula>"Yes"</formula>
    </cfRule>
  </conditionalFormatting>
  <conditionalFormatting sqref="J313:J314">
    <cfRule type="cellIs" dxfId="14" priority="4" stopIfTrue="1" operator="equal">
      <formula>"Yes"</formula>
    </cfRule>
  </conditionalFormatting>
  <conditionalFormatting sqref="J381:J382">
    <cfRule type="cellIs" dxfId="13" priority="3" stopIfTrue="1" operator="equal">
      <formula>"Yes"</formula>
    </cfRule>
  </conditionalFormatting>
  <conditionalFormatting sqref="J531:J532">
    <cfRule type="cellIs" dxfId="12" priority="2" stopIfTrue="1" operator="equal">
      <formula>"Yes"</formula>
    </cfRule>
  </conditionalFormatting>
  <conditionalFormatting sqref="J609:J610">
    <cfRule type="cellIs" dxfId="11"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13.75">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30">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Horner, Jack</cp:lastModifiedBy>
  <cp:lastPrinted>2015-04-21T20:47:43Z</cp:lastPrinted>
  <dcterms:created xsi:type="dcterms:W3CDTF">2010-06-21T21:00:23Z</dcterms:created>
  <dcterms:modified xsi:type="dcterms:W3CDTF">2021-08-03T13:27:18Z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